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UMBE\OneDrive\Documentos\TalleresImpartidos\PersonasMorales\Proyectos_videos\PagoProvisional\"/>
    </mc:Choice>
  </mc:AlternateContent>
  <xr:revisionPtr revIDLastSave="0" documentId="13_ncr:1_{8DE001FA-D4B0-4F5A-B4C7-E78B450F2CAC}" xr6:coauthVersionLast="37" xr6:coauthVersionMax="37" xr10:uidLastSave="{00000000-0000-0000-0000-000000000000}"/>
  <bookViews>
    <workbookView xWindow="0" yWindow="0" windowWidth="20490" windowHeight="8130" activeTab="2" xr2:uid="{00000000-000D-0000-FFFF-FFFF00000000}"/>
  </bookViews>
  <sheets>
    <sheet name="Hoja1" sheetId="1" r:id="rId1"/>
    <sheet name="Datos" sheetId="3" r:id="rId2"/>
    <sheet name="Calculo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2" l="1"/>
  <c r="C12" i="2"/>
  <c r="D12" i="2"/>
  <c r="E12" i="2"/>
  <c r="F12" i="2"/>
  <c r="G12" i="2"/>
  <c r="H12" i="2"/>
  <c r="I12" i="2"/>
  <c r="J12" i="2"/>
  <c r="K12" i="2"/>
  <c r="L12" i="2"/>
  <c r="M12" i="2"/>
  <c r="B12" i="2"/>
  <c r="B14" i="2"/>
  <c r="C19" i="2" l="1"/>
  <c r="D19" i="2"/>
  <c r="E19" i="2"/>
  <c r="F19" i="2"/>
  <c r="G19" i="2"/>
  <c r="H19" i="2"/>
  <c r="I19" i="2"/>
  <c r="J19" i="2"/>
  <c r="K19" i="2"/>
  <c r="L19" i="2"/>
  <c r="M19" i="2"/>
  <c r="F3" i="3"/>
  <c r="B20" i="2" l="1"/>
  <c r="B19" i="2"/>
  <c r="M9" i="2" l="1"/>
  <c r="L9" i="2"/>
  <c r="K9" i="2"/>
  <c r="J9" i="2"/>
  <c r="I9" i="2"/>
  <c r="H9" i="2"/>
  <c r="G9" i="2"/>
  <c r="F9" i="2"/>
  <c r="B4" i="2"/>
  <c r="F17" i="3"/>
  <c r="G17" i="3" s="1"/>
  <c r="F16" i="3"/>
  <c r="G16" i="3" s="1"/>
  <c r="B5" i="2" l="1"/>
  <c r="C5" i="2"/>
  <c r="D5" i="2"/>
  <c r="F5" i="2"/>
  <c r="H5" i="2"/>
  <c r="J5" i="2"/>
  <c r="L5" i="2"/>
  <c r="E5" i="2"/>
  <c r="G5" i="2"/>
  <c r="I5" i="2"/>
  <c r="K5" i="2"/>
  <c r="M5" i="2"/>
  <c r="B6" i="2"/>
  <c r="B8" i="2" s="1"/>
  <c r="B10" i="2" s="1"/>
  <c r="C3" i="2"/>
  <c r="C4" i="2" s="1"/>
  <c r="C6" i="2" l="1"/>
  <c r="C8" i="2" s="1"/>
  <c r="C10" i="2" s="1"/>
  <c r="D3" i="2"/>
  <c r="D4" i="2" s="1"/>
  <c r="E3" i="2" l="1"/>
  <c r="E4" i="2" s="1"/>
  <c r="D6" i="2"/>
  <c r="D8" i="2" s="1"/>
  <c r="D10" i="2" s="1"/>
  <c r="C13" i="2"/>
  <c r="C14" i="2" s="1"/>
  <c r="D14" i="2" l="1"/>
  <c r="E6" i="2"/>
  <c r="E8" i="2" s="1"/>
  <c r="E10" i="2" s="1"/>
  <c r="F3" i="2"/>
  <c r="F4" i="2" s="1"/>
  <c r="E13" i="2" l="1"/>
  <c r="E14" i="2" s="1"/>
  <c r="F13" i="2" s="1"/>
  <c r="G3" i="2"/>
  <c r="G4" i="2" s="1"/>
  <c r="F6" i="2"/>
  <c r="F8" i="2" s="1"/>
  <c r="F10" i="2" s="1"/>
  <c r="H3" i="3"/>
  <c r="J4" i="3" s="1"/>
  <c r="M4" i="3" s="1"/>
  <c r="H4" i="3"/>
  <c r="J5" i="3" s="1"/>
  <c r="H5" i="3"/>
  <c r="J6" i="3" s="1"/>
  <c r="H6" i="3"/>
  <c r="J7" i="3" s="1"/>
  <c r="H7" i="3"/>
  <c r="J8" i="3" s="1"/>
  <c r="H8" i="3"/>
  <c r="J9" i="3" s="1"/>
  <c r="H9" i="3"/>
  <c r="J10" i="3" s="1"/>
  <c r="H10" i="3"/>
  <c r="J11" i="3" s="1"/>
  <c r="H11" i="3"/>
  <c r="J12" i="3" s="1"/>
  <c r="H12" i="3"/>
  <c r="J13" i="3" s="1"/>
  <c r="H13" i="3"/>
  <c r="J14" i="3" s="1"/>
  <c r="H14" i="3"/>
  <c r="G4" i="3"/>
  <c r="G5" i="3"/>
  <c r="M5" i="3" s="1"/>
  <c r="G6" i="3"/>
  <c r="G7" i="3"/>
  <c r="M7" i="3" s="1"/>
  <c r="G8" i="3"/>
  <c r="G9" i="3"/>
  <c r="M9" i="3" s="1"/>
  <c r="G10" i="3"/>
  <c r="G11" i="3"/>
  <c r="M11" i="3" s="1"/>
  <c r="G12" i="3"/>
  <c r="G13" i="3"/>
  <c r="M13" i="3" s="1"/>
  <c r="G14" i="3"/>
  <c r="G3" i="3"/>
  <c r="M3" i="3" s="1"/>
  <c r="E5" i="3"/>
  <c r="F5" i="3" s="1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4" i="3"/>
  <c r="F4" i="3" s="1"/>
  <c r="D4" i="3"/>
  <c r="D5" i="3"/>
  <c r="D6" i="3"/>
  <c r="D7" i="3"/>
  <c r="D8" i="3"/>
  <c r="D9" i="3"/>
  <c r="D10" i="3"/>
  <c r="D11" i="3"/>
  <c r="D12" i="3"/>
  <c r="D13" i="3"/>
  <c r="D14" i="3"/>
  <c r="D3" i="3"/>
  <c r="H3" i="2" l="1"/>
  <c r="H4" i="2" s="1"/>
  <c r="G6" i="2"/>
  <c r="G8" i="2" s="1"/>
  <c r="G10" i="2" s="1"/>
  <c r="F14" i="2"/>
  <c r="I14" i="3"/>
  <c r="I12" i="3"/>
  <c r="I10" i="3"/>
  <c r="I8" i="3"/>
  <c r="I6" i="3"/>
  <c r="I4" i="3"/>
  <c r="M14" i="3"/>
  <c r="M12" i="3"/>
  <c r="M10" i="3"/>
  <c r="M8" i="3"/>
  <c r="M6" i="3"/>
  <c r="I3" i="3"/>
  <c r="I13" i="3"/>
  <c r="I11" i="3"/>
  <c r="I9" i="3"/>
  <c r="I7" i="3"/>
  <c r="I5" i="3"/>
  <c r="D24" i="1"/>
  <c r="E24" i="1"/>
  <c r="F24" i="1"/>
  <c r="G24" i="1"/>
  <c r="H24" i="1"/>
  <c r="I24" i="1"/>
  <c r="J24" i="1"/>
  <c r="K24" i="1"/>
  <c r="L24" i="1"/>
  <c r="M24" i="1"/>
  <c r="N24" i="1"/>
  <c r="C24" i="1"/>
  <c r="D23" i="1"/>
  <c r="D25" i="1" s="1"/>
  <c r="E23" i="1"/>
  <c r="E26" i="1" s="1"/>
  <c r="F23" i="1"/>
  <c r="F25" i="1" s="1"/>
  <c r="G23" i="1"/>
  <c r="G26" i="1" s="1"/>
  <c r="H23" i="1"/>
  <c r="H25" i="1" s="1"/>
  <c r="I23" i="1"/>
  <c r="I26" i="1" s="1"/>
  <c r="J23" i="1"/>
  <c r="J25" i="1" s="1"/>
  <c r="K23" i="1"/>
  <c r="K26" i="1" s="1"/>
  <c r="L23" i="1"/>
  <c r="L25" i="1" s="1"/>
  <c r="M23" i="1"/>
  <c r="M26" i="1" s="1"/>
  <c r="N23" i="1"/>
  <c r="N25" i="1" s="1"/>
  <c r="C23" i="1"/>
  <c r="C26" i="1" s="1"/>
  <c r="E4" i="1"/>
  <c r="F12" i="1" s="1"/>
  <c r="E1" i="1"/>
  <c r="C12" i="1" s="1"/>
  <c r="C11" i="1"/>
  <c r="D10" i="1" s="1"/>
  <c r="D11" i="1" s="1"/>
  <c r="E10" i="1" s="1"/>
  <c r="E11" i="1" s="1"/>
  <c r="G13" i="2" l="1"/>
  <c r="G14" i="2" s="1"/>
  <c r="H6" i="2"/>
  <c r="H8" i="2" s="1"/>
  <c r="H10" i="2" s="1"/>
  <c r="I3" i="2"/>
  <c r="I4" i="2" s="1"/>
  <c r="F10" i="1"/>
  <c r="F11" i="1" s="1"/>
  <c r="E12" i="1"/>
  <c r="E13" i="1" s="1"/>
  <c r="E15" i="1" s="1"/>
  <c r="M12" i="1"/>
  <c r="K12" i="1"/>
  <c r="I12" i="1"/>
  <c r="G12" i="1"/>
  <c r="C25" i="1"/>
  <c r="N26" i="1"/>
  <c r="L26" i="1"/>
  <c r="J26" i="1"/>
  <c r="H26" i="1"/>
  <c r="F26" i="1"/>
  <c r="D26" i="1"/>
  <c r="M25" i="1"/>
  <c r="K25" i="1"/>
  <c r="I25" i="1"/>
  <c r="G25" i="1"/>
  <c r="E25" i="1"/>
  <c r="C13" i="1"/>
  <c r="C15" i="1" s="1"/>
  <c r="C17" i="1" s="1"/>
  <c r="D16" i="1" s="1"/>
  <c r="D17" i="1" s="1"/>
  <c r="D12" i="1"/>
  <c r="D13" i="1" s="1"/>
  <c r="D15" i="1" s="1"/>
  <c r="N12" i="1"/>
  <c r="L12" i="1"/>
  <c r="J12" i="1"/>
  <c r="H12" i="1"/>
  <c r="J3" i="2" l="1"/>
  <c r="J4" i="2" s="1"/>
  <c r="I6" i="2"/>
  <c r="I8" i="2" s="1"/>
  <c r="I10" i="2" s="1"/>
  <c r="H13" i="2"/>
  <c r="H14" i="2" s="1"/>
  <c r="I13" i="2" s="1"/>
  <c r="I14" i="2" s="1"/>
  <c r="J13" i="2" s="1"/>
  <c r="G10" i="1"/>
  <c r="G11" i="1" s="1"/>
  <c r="F13" i="1"/>
  <c r="F15" i="1" s="1"/>
  <c r="E16" i="1"/>
  <c r="E17" i="1" s="1"/>
  <c r="K3" i="2" l="1"/>
  <c r="K4" i="2" s="1"/>
  <c r="J6" i="2"/>
  <c r="J8" i="2" s="1"/>
  <c r="J10" i="2" s="1"/>
  <c r="J14" i="2" s="1"/>
  <c r="H10" i="1"/>
  <c r="H11" i="1" s="1"/>
  <c r="G13" i="1"/>
  <c r="G15" i="1" s="1"/>
  <c r="F16" i="1"/>
  <c r="F17" i="1" s="1"/>
  <c r="G16" i="1" s="1"/>
  <c r="K13" i="2" l="1"/>
  <c r="L3" i="2"/>
  <c r="L4" i="2" s="1"/>
  <c r="K6" i="2"/>
  <c r="K8" i="2" s="1"/>
  <c r="K10" i="2" s="1"/>
  <c r="G17" i="1"/>
  <c r="H16" i="1" s="1"/>
  <c r="H17" i="1" s="1"/>
  <c r="I10" i="1"/>
  <c r="I11" i="1" s="1"/>
  <c r="H13" i="1"/>
  <c r="H15" i="1" s="1"/>
  <c r="K14" i="2" l="1"/>
  <c r="L13" i="2" s="1"/>
  <c r="L6" i="2"/>
  <c r="L8" i="2" s="1"/>
  <c r="L10" i="2" s="1"/>
  <c r="M3" i="2"/>
  <c r="M4" i="2" s="1"/>
  <c r="M6" i="2" s="1"/>
  <c r="M8" i="2" s="1"/>
  <c r="M10" i="2" s="1"/>
  <c r="J10" i="1"/>
  <c r="J11" i="1" s="1"/>
  <c r="I13" i="1"/>
  <c r="I15" i="1" s="1"/>
  <c r="I16" i="1"/>
  <c r="L14" i="2" l="1"/>
  <c r="M13" i="2" s="1"/>
  <c r="M14" i="2" s="1"/>
  <c r="I17" i="1"/>
  <c r="J16" i="1" s="1"/>
  <c r="K10" i="1"/>
  <c r="K11" i="1" s="1"/>
  <c r="J13" i="1"/>
  <c r="J15" i="1" s="1"/>
  <c r="L10" i="1" l="1"/>
  <c r="L11" i="1" s="1"/>
  <c r="K13" i="1"/>
  <c r="K15" i="1" s="1"/>
  <c r="J17" i="1"/>
  <c r="K16" i="1" l="1"/>
  <c r="K17" i="1" s="1"/>
  <c r="L16" i="1" s="1"/>
  <c r="M10" i="1"/>
  <c r="M11" i="1" s="1"/>
  <c r="L13" i="1"/>
  <c r="L15" i="1" s="1"/>
  <c r="L17" i="1" l="1"/>
  <c r="N10" i="1"/>
  <c r="N11" i="1" s="1"/>
  <c r="N13" i="1" s="1"/>
  <c r="N15" i="1" s="1"/>
  <c r="M13" i="1"/>
  <c r="M15" i="1" s="1"/>
  <c r="M16" i="1"/>
  <c r="M17" i="1" s="1"/>
  <c r="N16" i="1" s="1"/>
  <c r="N17" i="1" s="1"/>
</calcChain>
</file>

<file path=xl/sharedStrings.xml><?xml version="1.0" encoding="utf-8"?>
<sst xmlns="http://schemas.openxmlformats.org/spreadsheetml/2006/main" count="112" uniqueCount="89">
  <si>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</si>
  <si>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</si>
  <si>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</si>
  <si>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</si>
  <si>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</si>
  <si>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</si>
  <si>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</si>
  <si>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</si>
  <si>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</si>
  <si>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</si>
  <si>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</si>
  <si>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</si>
  <si>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COEFICIENTE DE UTILIDAD</t>
  </si>
  <si>
    <t>UTILIDAD FISCAL</t>
  </si>
  <si>
    <t>INGRESO NOMINAL</t>
  </si>
  <si>
    <t>INGRESOS NOMINALES DEL MES</t>
  </si>
  <si>
    <t>INGRESOS NOMINALES DE MESES ANTERIORES</t>
  </si>
  <si>
    <t>INGRESOS DEL PERIODO</t>
  </si>
  <si>
    <t>COEFICIENTE DE UTILIDAD 2016</t>
  </si>
  <si>
    <t>UTILIDAD FISCAL PARA PAGO PROVISIONAL</t>
  </si>
  <si>
    <t>TASA DEL ART 9</t>
  </si>
  <si>
    <t>ISR DEL PERIODO</t>
  </si>
  <si>
    <t>COEFICIENTE DE UTILIDAD 2015</t>
  </si>
  <si>
    <t>El coeficiente de utilidad fiscal se calcula con datos del ejercicio fiscal 2015</t>
  </si>
  <si>
    <t>El coeficiente de utilidad fiscal se calcula con datos del ejercicio fiscal 2016</t>
  </si>
  <si>
    <t>Este es el que se utiliza para los meses de enero y febrero</t>
  </si>
  <si>
    <t>Este coeficiente se utiliza para los meses de marzo a diciembre porque la declaración anual</t>
  </si>
  <si>
    <t>se presenta en el mes de marzo y el pago provisional de marzo se presenta en abril.</t>
  </si>
  <si>
    <t>Pagos Provisionales de meses anteriores</t>
  </si>
  <si>
    <t>Entero de ISR del Mes</t>
  </si>
  <si>
    <t>En el caso de los ingresos se acumulan para efectos de ISR en los supuestos que presenta el artículo 17 de la LISR</t>
  </si>
  <si>
    <t>En el caso del IVA se traslada en el momento en que efectivamente se cobra y el IVA acreditable se acredita cuando es efectivamente pagado</t>
  </si>
  <si>
    <t>Para este caso se tiene dos supuestos muy sencillos todo los ingresos generados han sido cobrados.</t>
  </si>
  <si>
    <t>IVA Trasladado o cobrado</t>
  </si>
  <si>
    <t>IVA Acreditable o pagado</t>
  </si>
  <si>
    <t>Compras y gastos gravados</t>
  </si>
  <si>
    <t>IVA a cargo</t>
  </si>
  <si>
    <t>IVA a favor</t>
  </si>
  <si>
    <t>PAGOS PROVISIONALES</t>
  </si>
  <si>
    <t xml:space="preserve">NOTA: No hubieron pérdidas fiscales aplicables y tampoco hubo retenciones por productos financieros </t>
  </si>
  <si>
    <t>( + )</t>
  </si>
  <si>
    <t>( = )</t>
  </si>
  <si>
    <t>( x )</t>
  </si>
  <si>
    <t>( - )</t>
  </si>
  <si>
    <t>Ventas Cobradas del mes</t>
  </si>
  <si>
    <t>Ventas a crédito</t>
  </si>
  <si>
    <t>Cobros de meses pasados</t>
  </si>
  <si>
    <t>Total Facturado del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</si>
  <si>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</si>
  <si>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</si>
  <si>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</si>
  <si>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</si>
  <si>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</si>
  <si>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</si>
  <si>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</si>
  <si>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</si>
  <si>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</si>
  <si>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</si>
  <si>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</si>
  <si>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</si>
  <si>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Trasladado</t>
  </si>
  <si>
    <t>Compras Pagadas del mes</t>
  </si>
  <si>
    <t>Compras a Crédito</t>
  </si>
  <si>
    <t>Total de Compras</t>
  </si>
  <si>
    <t>Publicidad (Todas pagadas en el mes)</t>
  </si>
  <si>
    <t>IVA Acreditable</t>
  </si>
  <si>
    <t>Pagos de compras de meses pasados</t>
  </si>
  <si>
    <t>PTU Pagada en el Ejercicio</t>
  </si>
  <si>
    <t>Ingreso Acumulable</t>
  </si>
  <si>
    <t>Ajuste anual por Inf Acumulable</t>
  </si>
  <si>
    <t>Utilidad Fiscal</t>
  </si>
  <si>
    <t>Datos del Ejercicio Fiscal 2018</t>
  </si>
  <si>
    <t>Datos de Ejercicios anteriores</t>
  </si>
  <si>
    <t>Coeficiente de Utilidad</t>
  </si>
  <si>
    <t>( + ) INGRESOS NOMINALES DEL MES</t>
  </si>
  <si>
    <t>( + ) INGRESOS NOMINALES DE MESES ANTERIORES</t>
  </si>
  <si>
    <t>( = ) UTILIDAD FISCAL PARA PAGO PROVISIONAL</t>
  </si>
  <si>
    <t>( = ) INGRESOS DEL PERIODO</t>
  </si>
  <si>
    <t>( = ) BASE PARA PAGO PROVISIONAL</t>
  </si>
  <si>
    <t>( = ) ISR DEL PERIODO</t>
  </si>
  <si>
    <t>( = ) Entero de ISR del Mes</t>
  </si>
  <si>
    <t>( x ) COEFICIENTE DE UTILIDAD</t>
  </si>
  <si>
    <t>( x ) TASA DEL ART 9</t>
  </si>
  <si>
    <t>( - ) PÉRDIDAS FISCALES DE EJERCICIOS ANTERIORES</t>
  </si>
  <si>
    <t>( - ) PTU EN FORMA ACUMULATIVA</t>
  </si>
  <si>
    <t>( - ) Pagos Provisionales de meses anteriores</t>
  </si>
  <si>
    <t>Pagos provisionales de ISR</t>
  </si>
  <si>
    <t>Pagos definitivos de IVA</t>
  </si>
  <si>
    <t>IVA 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</si>
</sst>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0_-;\-&quot;$&quot;* #,##0.0000_-;_-&quot;$&quot;* &quot;-&quot;??_-;_-@_-"/>
    <numFmt numFmtId="165" formatCode="_-&quot;$&quot;* #,##0.00000_-;\-&quot;$&quot;* #,##0.00000_-;_-&quot;$&quot;* &quot;-&quot;??_-;_-@_-"/>
    <numFmt numFmtId="166" formatCode="_-* #,##0.0000_-;\-* #,##0.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44" fontId="0" fillId="0" borderId="0" xfId="2" applyFont="1"/>
    <xf numFmtId="0" fontId="0" fillId="0" borderId="1" xfId="0" applyBorder="1"/>
    <xf numFmtId="44" fontId="0" fillId="0" borderId="1" xfId="2" applyFont="1" applyBorder="1"/>
    <xf numFmtId="0" fontId="0" fillId="0" borderId="0" xfId="0" applyAlignment="1">
      <alignment horizontal="center" vertical="center"/>
    </xf>
    <xf numFmtId="164" fontId="0" fillId="0" borderId="0" xfId="2" applyNumberFormat="1" applyFont="1"/>
    <xf numFmtId="165" fontId="0" fillId="0" borderId="0" xfId="2" applyNumberFormat="1" applyFont="1"/>
    <xf numFmtId="166" fontId="0" fillId="0" borderId="1" xfId="1" applyNumberFormat="1" applyFont="1" applyBorder="1"/>
    <xf numFmtId="9" fontId="0" fillId="0" borderId="1" xfId="3" applyFont="1" applyBorder="1"/>
    <xf numFmtId="44" fontId="2" fillId="0" borderId="0" xfId="2" applyFont="1"/>
    <xf numFmtId="44" fontId="2" fillId="0" borderId="5" xfId="2" applyFont="1" applyBorder="1"/>
    <xf numFmtId="44" fontId="2" fillId="0" borderId="0" xfId="2" applyFont="1" applyBorder="1"/>
    <xf numFmtId="44" fontId="2" fillId="0" borderId="6" xfId="2" applyFont="1" applyBorder="1"/>
    <xf numFmtId="44" fontId="0" fillId="0" borderId="0" xfId="2" applyFont="1" applyBorder="1"/>
    <xf numFmtId="44" fontId="0" fillId="0" borderId="6" xfId="2" applyFont="1" applyBorder="1"/>
    <xf numFmtId="44" fontId="2" fillId="0" borderId="7" xfId="2" applyFont="1" applyBorder="1"/>
    <xf numFmtId="44" fontId="0" fillId="0" borderId="8" xfId="2" applyFont="1" applyBorder="1"/>
    <xf numFmtId="164" fontId="2" fillId="0" borderId="7" xfId="2" applyNumberFormat="1" applyFont="1" applyBorder="1"/>
    <xf numFmtId="166" fontId="0" fillId="0" borderId="8" xfId="1" applyNumberFormat="1" applyFont="1" applyBorder="1"/>
    <xf numFmtId="9" fontId="0" fillId="0" borderId="8" xfId="3" applyFont="1" applyBorder="1"/>
    <xf numFmtId="44" fontId="0" fillId="0" borderId="10" xfId="2" applyFont="1" applyBorder="1"/>
    <xf numFmtId="44" fontId="0" fillId="0" borderId="11" xfId="2" applyFont="1" applyBorder="1"/>
    <xf numFmtId="44" fontId="2" fillId="0" borderId="2" xfId="2" applyFont="1" applyBorder="1"/>
    <xf numFmtId="44" fontId="0" fillId="0" borderId="3" xfId="2" applyFont="1" applyBorder="1"/>
    <xf numFmtId="44" fontId="0" fillId="0" borderId="4" xfId="2" applyFont="1" applyBorder="1"/>
    <xf numFmtId="44" fontId="2" fillId="0" borderId="9" xfId="2" applyFont="1" applyBorder="1"/>
    <xf numFmtId="44" fontId="2" fillId="2" borderId="5" xfId="2" applyFont="1" applyFill="1" applyBorder="1"/>
    <xf numFmtId="44" fontId="0" fillId="2" borderId="0" xfId="2" applyFont="1" applyFill="1" applyBorder="1"/>
    <xf numFmtId="44" fontId="0" fillId="2" borderId="6" xfId="2" applyFont="1" applyFill="1" applyBorder="1"/>
    <xf numFmtId="44" fontId="2" fillId="3" borderId="5" xfId="2" applyFont="1" applyFill="1" applyBorder="1"/>
    <xf numFmtId="44" fontId="0" fillId="3" borderId="0" xfId="2" applyFont="1" applyFill="1" applyBorder="1"/>
    <xf numFmtId="44" fontId="0" fillId="3" borderId="6" xfId="2" applyFont="1" applyFill="1" applyBorder="1"/>
    <xf numFmtId="166" fontId="1" fillId="0" borderId="1" xfId="1" applyNumberFormat="1" applyFont="1" applyBorder="1"/>
    <xf numFmtId="0" fontId="2" fillId="0" borderId="0" xfId="0" applyFont="1" applyAlignment="1">
      <alignment horizontal="center" wrapText="1"/>
    </xf>
    <xf numFmtId="43" fontId="0" fillId="0" borderId="0" xfId="1" applyFont="1"/>
    <xf numFmtId="43" fontId="0" fillId="3" borderId="12" xfId="1" applyFont="1" applyFill="1" applyBorder="1"/>
    <xf numFmtId="43" fontId="0" fillId="5" borderId="12" xfId="1" applyFont="1" applyFill="1" applyBorder="1"/>
    <xf numFmtId="0" fontId="2" fillId="0" borderId="13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0" borderId="16" xfId="0" applyFont="1" applyBorder="1"/>
    <xf numFmtId="43" fontId="0" fillId="5" borderId="17" xfId="1" applyFont="1" applyFill="1" applyBorder="1"/>
    <xf numFmtId="0" fontId="2" fillId="0" borderId="18" xfId="0" applyFont="1" applyBorder="1"/>
    <xf numFmtId="43" fontId="0" fillId="3" borderId="19" xfId="1" applyFont="1" applyFill="1" applyBorder="1"/>
    <xf numFmtId="43" fontId="0" fillId="5" borderId="19" xfId="1" applyFont="1" applyFill="1" applyBorder="1"/>
    <xf numFmtId="43" fontId="0" fillId="5" borderId="20" xfId="1" applyFont="1" applyFill="1" applyBorder="1"/>
    <xf numFmtId="0" fontId="2" fillId="6" borderId="14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43" fontId="2" fillId="7" borderId="12" xfId="1" applyFont="1" applyFill="1" applyBorder="1"/>
    <xf numFmtId="43" fontId="2" fillId="7" borderId="19" xfId="1" applyFont="1" applyFill="1" applyBorder="1"/>
    <xf numFmtId="43" fontId="2" fillId="6" borderId="12" xfId="1" applyFont="1" applyFill="1" applyBorder="1"/>
    <xf numFmtId="43" fontId="2" fillId="6" borderId="19" xfId="1" applyFont="1" applyFill="1" applyBorder="1"/>
    <xf numFmtId="0" fontId="2" fillId="5" borderId="21" xfId="0" applyFont="1" applyFill="1" applyBorder="1" applyAlignment="1">
      <alignment horizontal="center" wrapText="1"/>
    </xf>
    <xf numFmtId="43" fontId="0" fillId="5" borderId="22" xfId="1" applyFont="1" applyFill="1" applyBorder="1"/>
    <xf numFmtId="43" fontId="0" fillId="5" borderId="23" xfId="1" applyFont="1" applyFill="1" applyBorder="1"/>
    <xf numFmtId="43" fontId="2" fillId="5" borderId="22" xfId="1" applyFont="1" applyFill="1" applyBorder="1"/>
    <xf numFmtId="43" fontId="2" fillId="0" borderId="5" xfId="1" applyFont="1" applyBorder="1"/>
    <xf numFmtId="43" fontId="2" fillId="0" borderId="7" xfId="1" applyFont="1" applyBorder="1"/>
    <xf numFmtId="43" fontId="0" fillId="0" borderId="1" xfId="1" applyFont="1" applyBorder="1"/>
    <xf numFmtId="43" fontId="2" fillId="0" borderId="3" xfId="1" applyFont="1" applyBorder="1"/>
    <xf numFmtId="43" fontId="2" fillId="0" borderId="4" xfId="1" applyFont="1" applyBorder="1"/>
    <xf numFmtId="43" fontId="0" fillId="0" borderId="0" xfId="1" applyFont="1" applyBorder="1"/>
    <xf numFmtId="43" fontId="0" fillId="0" borderId="6" xfId="1" applyFont="1" applyBorder="1"/>
    <xf numFmtId="43" fontId="0" fillId="0" borderId="8" xfId="1" applyFont="1" applyBorder="1"/>
    <xf numFmtId="43" fontId="2" fillId="0" borderId="9" xfId="1" applyFont="1" applyBorder="1"/>
    <xf numFmtId="43" fontId="2" fillId="3" borderId="3" xfId="1" applyFont="1" applyFill="1" applyBorder="1"/>
    <xf numFmtId="43" fontId="0" fillId="3" borderId="0" xfId="1" applyFont="1" applyFill="1" applyBorder="1"/>
    <xf numFmtId="43" fontId="0" fillId="3" borderId="1" xfId="1" applyFont="1" applyFill="1" applyBorder="1"/>
    <xf numFmtId="43" fontId="0" fillId="3" borderId="10" xfId="1" applyFont="1" applyFill="1" applyBorder="1"/>
    <xf numFmtId="43" fontId="2" fillId="3" borderId="0" xfId="1" applyFont="1" applyFill="1" applyBorder="1"/>
    <xf numFmtId="43" fontId="2" fillId="0" borderId="0" xfId="1" applyFont="1" applyBorder="1"/>
    <xf numFmtId="43" fontId="2" fillId="0" borderId="6" xfId="1" applyFont="1" applyBorder="1"/>
    <xf numFmtId="0" fontId="2" fillId="0" borderId="12" xfId="1" applyNumberFormat="1" applyFont="1" applyBorder="1"/>
    <xf numFmtId="43" fontId="0" fillId="0" borderId="12" xfId="1" applyFont="1" applyBorder="1"/>
    <xf numFmtId="43" fontId="2" fillId="0" borderId="12" xfId="1" applyFont="1" applyBorder="1" applyAlignment="1">
      <alignment wrapText="1"/>
    </xf>
    <xf numFmtId="43" fontId="2" fillId="0" borderId="12" xfId="1" applyFont="1" applyBorder="1" applyAlignment="1">
      <alignment horizontal="center" vertical="center" wrapText="1"/>
    </xf>
    <xf numFmtId="43" fontId="2" fillId="0" borderId="26" xfId="1" applyFont="1" applyFill="1" applyBorder="1" applyAlignment="1">
      <alignment horizontal="center" vertical="center" wrapText="1"/>
    </xf>
    <xf numFmtId="43" fontId="2" fillId="0" borderId="0" xfId="1" applyFont="1" applyFill="1" applyBorder="1"/>
    <xf numFmtId="9" fontId="0" fillId="3" borderId="1" xfId="1" applyNumberFormat="1" applyFont="1" applyFill="1" applyBorder="1"/>
    <xf numFmtId="9" fontId="0" fillId="0" borderId="1" xfId="1" applyNumberFormat="1" applyFont="1" applyBorder="1"/>
    <xf numFmtId="9" fontId="0" fillId="0" borderId="8" xfId="1" applyNumberFormat="1" applyFont="1" applyBorder="1"/>
    <xf numFmtId="166" fontId="0" fillId="0" borderId="12" xfId="0" applyNumberFormat="1" applyBorder="1"/>
    <xf numFmtId="166" fontId="0" fillId="3" borderId="1" xfId="1" applyNumberFormat="1" applyFont="1" applyFill="1" applyBorder="1"/>
    <xf numFmtId="44" fontId="2" fillId="4" borderId="9" xfId="2" applyFont="1" applyFill="1" applyBorder="1" applyAlignment="1">
      <alignment horizontal="left"/>
    </xf>
    <xf numFmtId="44" fontId="2" fillId="4" borderId="10" xfId="2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/>
    </xf>
    <xf numFmtId="43" fontId="2" fillId="3" borderId="6" xfId="1" applyFont="1" applyFill="1" applyBorder="1"/>
    <xf numFmtId="43" fontId="0" fillId="3" borderId="11" xfId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opLeftCell="B1" workbookViewId="0">
      <selection activeCell="B1" sqref="B1:B2"/>
    </sheetView>
  </sheetViews>
  <sheetFormatPr baseColWidth="10" defaultColWidth="11.5703125" defaultRowHeight="15" x14ac:dyDescent="0.25"/>
  <cols>
    <col min="1" max="1" width="11.5703125" style="1"/>
    <col min="2" max="2" width="41.28515625" style="1" bestFit="1" customWidth="1"/>
    <col min="3" max="3" width="17" style="1" customWidth="1"/>
    <col min="4" max="4" width="14.7109375" style="1" bestFit="1" customWidth="1"/>
    <col min="5" max="8" width="12.28515625" style="1" bestFit="1" customWidth="1"/>
    <col min="9" max="14" width="13.7109375" style="1" bestFit="1" customWidth="1"/>
    <col min="15" max="16384" width="11.5703125" style="1"/>
  </cols>
  <sheetData>
    <row r="1" spans="1:14" x14ac:dyDescent="0.25">
      <c r="B1" s="86" t="s">
        <v>22</v>
      </c>
      <c r="C1" s="2" t="s">
        <v>13</v>
      </c>
      <c r="D1" s="1">
        <v>95269.52</v>
      </c>
      <c r="E1" s="86">
        <f>TRUNC((D1/D2),4)</f>
        <v>8.2500000000000004E-2</v>
      </c>
      <c r="F1" s="1" t="s">
        <v>23</v>
      </c>
    </row>
    <row r="2" spans="1:14" x14ac:dyDescent="0.25">
      <c r="B2" s="86"/>
      <c r="C2" t="s">
        <v>14</v>
      </c>
      <c r="D2" s="1">
        <v>1154782</v>
      </c>
      <c r="E2" s="86"/>
      <c r="F2" s="6" t="s">
        <v>25</v>
      </c>
    </row>
    <row r="3" spans="1:14" x14ac:dyDescent="0.25">
      <c r="B3" s="4"/>
      <c r="C3"/>
      <c r="E3" s="4"/>
      <c r="F3" s="6"/>
    </row>
    <row r="4" spans="1:14" x14ac:dyDescent="0.25">
      <c r="B4" s="86" t="s">
        <v>18</v>
      </c>
      <c r="C4" s="2" t="s">
        <v>13</v>
      </c>
      <c r="D4" s="1">
        <v>98364</v>
      </c>
      <c r="E4" s="86">
        <f>TRUNC((D4/D5),4)</f>
        <v>8.4699999999999998E-2</v>
      </c>
      <c r="F4" s="1" t="s">
        <v>24</v>
      </c>
    </row>
    <row r="5" spans="1:14" x14ac:dyDescent="0.25">
      <c r="B5" s="86"/>
      <c r="C5" t="s">
        <v>14</v>
      </c>
      <c r="D5" s="1">
        <v>1160074</v>
      </c>
      <c r="E5" s="86"/>
      <c r="F5" s="6" t="s">
        <v>26</v>
      </c>
    </row>
    <row r="6" spans="1:14" ht="15.75" thickBot="1" x14ac:dyDescent="0.3">
      <c r="B6" s="4"/>
      <c r="C6"/>
      <c r="E6" s="4"/>
      <c r="F6" s="6" t="s">
        <v>27</v>
      </c>
    </row>
    <row r="7" spans="1:14" x14ac:dyDescent="0.25">
      <c r="B7" s="87" t="s">
        <v>38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</row>
    <row r="8" spans="1:14" s="9" customFormat="1" x14ac:dyDescent="0.25">
      <c r="B8" s="10"/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10</v>
      </c>
      <c r="N8" s="12" t="s">
        <v>11</v>
      </c>
    </row>
    <row r="9" spans="1:14" x14ac:dyDescent="0.25">
      <c r="A9" s="1" t="s">
        <v>40</v>
      </c>
      <c r="B9" s="10" t="s">
        <v>15</v>
      </c>
      <c r="C9" s="13">
        <v>160000</v>
      </c>
      <c r="D9" s="13">
        <v>154370</v>
      </c>
      <c r="E9" s="13">
        <v>134820</v>
      </c>
      <c r="F9" s="13">
        <v>115490</v>
      </c>
      <c r="G9" s="13">
        <v>127831</v>
      </c>
      <c r="H9" s="13">
        <v>149012</v>
      </c>
      <c r="I9" s="13">
        <v>173537</v>
      </c>
      <c r="J9" s="13">
        <v>169045</v>
      </c>
      <c r="K9" s="13">
        <v>204567</v>
      </c>
      <c r="L9" s="13">
        <v>195472</v>
      </c>
      <c r="M9" s="13">
        <v>346781</v>
      </c>
      <c r="N9" s="14">
        <v>601274</v>
      </c>
    </row>
    <row r="10" spans="1:14" x14ac:dyDescent="0.25">
      <c r="A10" s="1" t="s">
        <v>40</v>
      </c>
      <c r="B10" s="15" t="s">
        <v>16</v>
      </c>
      <c r="C10" s="3">
        <v>0</v>
      </c>
      <c r="D10" s="3">
        <f>+C11</f>
        <v>160000</v>
      </c>
      <c r="E10" s="3">
        <f t="shared" ref="E10:N10" si="0">+D11</f>
        <v>314370</v>
      </c>
      <c r="F10" s="3">
        <f t="shared" si="0"/>
        <v>449190</v>
      </c>
      <c r="G10" s="3">
        <f t="shared" si="0"/>
        <v>564680</v>
      </c>
      <c r="H10" s="3">
        <f t="shared" si="0"/>
        <v>692511</v>
      </c>
      <c r="I10" s="3">
        <f t="shared" si="0"/>
        <v>841523</v>
      </c>
      <c r="J10" s="3">
        <f t="shared" si="0"/>
        <v>1015060</v>
      </c>
      <c r="K10" s="3">
        <f t="shared" si="0"/>
        <v>1184105</v>
      </c>
      <c r="L10" s="3">
        <f t="shared" si="0"/>
        <v>1388672</v>
      </c>
      <c r="M10" s="3">
        <f t="shared" si="0"/>
        <v>1584144</v>
      </c>
      <c r="N10" s="16">
        <f t="shared" si="0"/>
        <v>1930925</v>
      </c>
    </row>
    <row r="11" spans="1:14" x14ac:dyDescent="0.25">
      <c r="A11" s="1" t="s">
        <v>41</v>
      </c>
      <c r="B11" s="10" t="s">
        <v>17</v>
      </c>
      <c r="C11" s="13">
        <f>SUM(C9:C10)</f>
        <v>160000</v>
      </c>
      <c r="D11" s="13">
        <f t="shared" ref="D11:N11" si="1">SUM(D9:D10)</f>
        <v>314370</v>
      </c>
      <c r="E11" s="13">
        <f t="shared" si="1"/>
        <v>449190</v>
      </c>
      <c r="F11" s="13">
        <f t="shared" si="1"/>
        <v>564680</v>
      </c>
      <c r="G11" s="13">
        <f t="shared" si="1"/>
        <v>692511</v>
      </c>
      <c r="H11" s="13">
        <f t="shared" si="1"/>
        <v>841523</v>
      </c>
      <c r="I11" s="13">
        <f t="shared" si="1"/>
        <v>1015060</v>
      </c>
      <c r="J11" s="13">
        <f t="shared" si="1"/>
        <v>1184105</v>
      </c>
      <c r="K11" s="13">
        <f t="shared" si="1"/>
        <v>1388672</v>
      </c>
      <c r="L11" s="13">
        <f t="shared" si="1"/>
        <v>1584144</v>
      </c>
      <c r="M11" s="13">
        <f t="shared" si="1"/>
        <v>1930925</v>
      </c>
      <c r="N11" s="14">
        <f t="shared" si="1"/>
        <v>2532199</v>
      </c>
    </row>
    <row r="12" spans="1:14" s="5" customFormat="1" x14ac:dyDescent="0.25">
      <c r="A12" s="5" t="s">
        <v>42</v>
      </c>
      <c r="B12" s="17" t="s">
        <v>12</v>
      </c>
      <c r="C12" s="7">
        <f>$E$1</f>
        <v>8.2500000000000004E-2</v>
      </c>
      <c r="D12" s="32">
        <f t="shared" ref="D12" si="2">$E$1</f>
        <v>8.2500000000000004E-2</v>
      </c>
      <c r="E12" s="7">
        <f>$E$4</f>
        <v>8.4699999999999998E-2</v>
      </c>
      <c r="F12" s="7">
        <f t="shared" ref="F12:N12" si="3">$E$4</f>
        <v>8.4699999999999998E-2</v>
      </c>
      <c r="G12" s="7">
        <f t="shared" si="3"/>
        <v>8.4699999999999998E-2</v>
      </c>
      <c r="H12" s="7">
        <f t="shared" si="3"/>
        <v>8.4699999999999998E-2</v>
      </c>
      <c r="I12" s="7">
        <f t="shared" si="3"/>
        <v>8.4699999999999998E-2</v>
      </c>
      <c r="J12" s="7">
        <f t="shared" si="3"/>
        <v>8.4699999999999998E-2</v>
      </c>
      <c r="K12" s="7">
        <f t="shared" si="3"/>
        <v>8.4699999999999998E-2</v>
      </c>
      <c r="L12" s="7">
        <f t="shared" si="3"/>
        <v>8.4699999999999998E-2</v>
      </c>
      <c r="M12" s="7">
        <f t="shared" si="3"/>
        <v>8.4699999999999998E-2</v>
      </c>
      <c r="N12" s="18">
        <f t="shared" si="3"/>
        <v>8.4699999999999998E-2</v>
      </c>
    </row>
    <row r="13" spans="1:14" x14ac:dyDescent="0.25">
      <c r="A13" s="1" t="s">
        <v>41</v>
      </c>
      <c r="B13" s="10" t="s">
        <v>19</v>
      </c>
      <c r="C13" s="13">
        <f>+C11*C12</f>
        <v>13200</v>
      </c>
      <c r="D13" s="13">
        <f t="shared" ref="D13:N13" si="4">+D11*D12</f>
        <v>25935.525000000001</v>
      </c>
      <c r="E13" s="13">
        <f t="shared" si="4"/>
        <v>38046.392999999996</v>
      </c>
      <c r="F13" s="13">
        <f t="shared" si="4"/>
        <v>47828.396000000001</v>
      </c>
      <c r="G13" s="13">
        <f t="shared" si="4"/>
        <v>58655.681700000001</v>
      </c>
      <c r="H13" s="13">
        <f t="shared" si="4"/>
        <v>71276.998099999997</v>
      </c>
      <c r="I13" s="13">
        <f t="shared" si="4"/>
        <v>85975.581999999995</v>
      </c>
      <c r="J13" s="13">
        <f t="shared" si="4"/>
        <v>100293.69349999999</v>
      </c>
      <c r="K13" s="13">
        <f t="shared" si="4"/>
        <v>117620.5184</v>
      </c>
      <c r="L13" s="13">
        <f t="shared" si="4"/>
        <v>134176.99679999999</v>
      </c>
      <c r="M13" s="13">
        <f t="shared" si="4"/>
        <v>163549.3475</v>
      </c>
      <c r="N13" s="14">
        <f t="shared" si="4"/>
        <v>214477.25529999999</v>
      </c>
    </row>
    <row r="14" spans="1:14" x14ac:dyDescent="0.25">
      <c r="A14" s="5" t="s">
        <v>42</v>
      </c>
      <c r="B14" s="15" t="s">
        <v>20</v>
      </c>
      <c r="C14" s="8">
        <v>0.3</v>
      </c>
      <c r="D14" s="8">
        <v>0.3</v>
      </c>
      <c r="E14" s="8">
        <v>0.3</v>
      </c>
      <c r="F14" s="8">
        <v>0.3</v>
      </c>
      <c r="G14" s="8">
        <v>0.3</v>
      </c>
      <c r="H14" s="8">
        <v>0.3</v>
      </c>
      <c r="I14" s="8">
        <v>0.3</v>
      </c>
      <c r="J14" s="8">
        <v>0.3</v>
      </c>
      <c r="K14" s="8">
        <v>0.3</v>
      </c>
      <c r="L14" s="8">
        <v>0.3</v>
      </c>
      <c r="M14" s="8">
        <v>0.3</v>
      </c>
      <c r="N14" s="19">
        <v>0.3</v>
      </c>
    </row>
    <row r="15" spans="1:14" x14ac:dyDescent="0.25">
      <c r="A15" s="1" t="s">
        <v>41</v>
      </c>
      <c r="B15" s="10" t="s">
        <v>21</v>
      </c>
      <c r="C15" s="13">
        <f>+C13*C14</f>
        <v>3960</v>
      </c>
      <c r="D15" s="13">
        <f t="shared" ref="D15:N15" si="5">+D13*D14</f>
        <v>7780.6575000000003</v>
      </c>
      <c r="E15" s="13">
        <f t="shared" si="5"/>
        <v>11413.917899999999</v>
      </c>
      <c r="F15" s="13">
        <f t="shared" si="5"/>
        <v>14348.5188</v>
      </c>
      <c r="G15" s="13">
        <f t="shared" si="5"/>
        <v>17596.70451</v>
      </c>
      <c r="H15" s="13">
        <f t="shared" si="5"/>
        <v>21383.099429999998</v>
      </c>
      <c r="I15" s="13">
        <f t="shared" si="5"/>
        <v>25792.674599999998</v>
      </c>
      <c r="J15" s="13">
        <f t="shared" si="5"/>
        <v>30088.108049999995</v>
      </c>
      <c r="K15" s="13">
        <f t="shared" si="5"/>
        <v>35286.15552</v>
      </c>
      <c r="L15" s="13">
        <f t="shared" si="5"/>
        <v>40253.099039999994</v>
      </c>
      <c r="M15" s="13">
        <f t="shared" si="5"/>
        <v>49064.804250000001</v>
      </c>
      <c r="N15" s="14">
        <f t="shared" si="5"/>
        <v>64343.176589999995</v>
      </c>
    </row>
    <row r="16" spans="1:14" x14ac:dyDescent="0.25">
      <c r="A16" s="1" t="s">
        <v>43</v>
      </c>
      <c r="B16" s="15" t="s">
        <v>28</v>
      </c>
      <c r="C16" s="3">
        <v>0</v>
      </c>
      <c r="D16" s="3">
        <f>SUM(C17)</f>
        <v>3960</v>
      </c>
      <c r="E16" s="3">
        <f>SUM($C$17:D17)</f>
        <v>7781</v>
      </c>
      <c r="F16" s="3">
        <f>SUM($C$17:E17)</f>
        <v>11414</v>
      </c>
      <c r="G16" s="3">
        <f>SUM($C$17:F17)</f>
        <v>14349</v>
      </c>
      <c r="H16" s="3">
        <f>SUM($C$17:G17)</f>
        <v>17597</v>
      </c>
      <c r="I16" s="3">
        <f>SUM($C$17:H17)</f>
        <v>21383</v>
      </c>
      <c r="J16" s="3">
        <f>SUM($C$17:I17)</f>
        <v>25793</v>
      </c>
      <c r="K16" s="3">
        <f>SUM($C$17:J17)</f>
        <v>30088</v>
      </c>
      <c r="L16" s="3">
        <f>SUM($C$17:K17)</f>
        <v>35286</v>
      </c>
      <c r="M16" s="3">
        <f>SUM($C$17:L17)</f>
        <v>40253</v>
      </c>
      <c r="N16" s="16">
        <f>SUM($C$17:M17)</f>
        <v>49065</v>
      </c>
    </row>
    <row r="17" spans="1:14" x14ac:dyDescent="0.25">
      <c r="A17" s="1" t="s">
        <v>41</v>
      </c>
      <c r="B17" s="10" t="s">
        <v>29</v>
      </c>
      <c r="C17" s="13">
        <f>ROUND((C15-C16),0)</f>
        <v>3960</v>
      </c>
      <c r="D17" s="13">
        <f t="shared" ref="D17:N17" si="6">ROUND((D15-D16),0)</f>
        <v>3821</v>
      </c>
      <c r="E17" s="13">
        <f t="shared" si="6"/>
        <v>3633</v>
      </c>
      <c r="F17" s="13">
        <f t="shared" si="6"/>
        <v>2935</v>
      </c>
      <c r="G17" s="13">
        <f t="shared" si="6"/>
        <v>3248</v>
      </c>
      <c r="H17" s="13">
        <f t="shared" si="6"/>
        <v>3786</v>
      </c>
      <c r="I17" s="13">
        <f t="shared" si="6"/>
        <v>4410</v>
      </c>
      <c r="J17" s="13">
        <f t="shared" si="6"/>
        <v>4295</v>
      </c>
      <c r="K17" s="13">
        <f t="shared" si="6"/>
        <v>5198</v>
      </c>
      <c r="L17" s="13">
        <f t="shared" si="6"/>
        <v>4967</v>
      </c>
      <c r="M17" s="13">
        <f t="shared" si="6"/>
        <v>8812</v>
      </c>
      <c r="N17" s="14">
        <f t="shared" si="6"/>
        <v>15278</v>
      </c>
    </row>
    <row r="18" spans="1:14" ht="15.75" thickBot="1" x14ac:dyDescent="0.3">
      <c r="B18" s="84" t="s">
        <v>39</v>
      </c>
      <c r="C18" s="85"/>
      <c r="D18" s="85"/>
      <c r="E18" s="85"/>
      <c r="F18" s="85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B19" s="1" t="s">
        <v>30</v>
      </c>
    </row>
    <row r="20" spans="1:14" x14ac:dyDescent="0.25">
      <c r="B20" s="1" t="s">
        <v>31</v>
      </c>
    </row>
    <row r="21" spans="1:14" x14ac:dyDescent="0.25">
      <c r="B21" s="1" t="s">
        <v>32</v>
      </c>
    </row>
    <row r="22" spans="1:14" ht="15.75" thickBot="1" x14ac:dyDescent="0.3"/>
    <row r="23" spans="1:14" x14ac:dyDescent="0.25">
      <c r="B23" s="22" t="s">
        <v>33</v>
      </c>
      <c r="C23" s="23">
        <f>C9*0.16</f>
        <v>25600</v>
      </c>
      <c r="D23" s="23">
        <f t="shared" ref="D23:N23" si="7">D9*0.16</f>
        <v>24699.200000000001</v>
      </c>
      <c r="E23" s="23">
        <f t="shared" si="7"/>
        <v>21571.200000000001</v>
      </c>
      <c r="F23" s="23">
        <f t="shared" si="7"/>
        <v>18478.400000000001</v>
      </c>
      <c r="G23" s="23">
        <f t="shared" si="7"/>
        <v>20452.96</v>
      </c>
      <c r="H23" s="23">
        <f t="shared" si="7"/>
        <v>23841.920000000002</v>
      </c>
      <c r="I23" s="23">
        <f t="shared" si="7"/>
        <v>27765.920000000002</v>
      </c>
      <c r="J23" s="23">
        <f t="shared" si="7"/>
        <v>27047.200000000001</v>
      </c>
      <c r="K23" s="23">
        <f t="shared" si="7"/>
        <v>32730.720000000001</v>
      </c>
      <c r="L23" s="23">
        <f t="shared" si="7"/>
        <v>31275.52</v>
      </c>
      <c r="M23" s="23">
        <f t="shared" si="7"/>
        <v>55484.959999999999</v>
      </c>
      <c r="N23" s="24">
        <f t="shared" si="7"/>
        <v>96203.839999999997</v>
      </c>
    </row>
    <row r="24" spans="1:14" x14ac:dyDescent="0.25">
      <c r="B24" s="15" t="s">
        <v>34</v>
      </c>
      <c r="C24" s="3">
        <f>C27*0.16</f>
        <v>19200</v>
      </c>
      <c r="D24" s="3">
        <f t="shared" ref="D24:N24" si="8">D27*0.16</f>
        <v>19200</v>
      </c>
      <c r="E24" s="3">
        <f t="shared" si="8"/>
        <v>19200</v>
      </c>
      <c r="F24" s="3">
        <f t="shared" si="8"/>
        <v>19200</v>
      </c>
      <c r="G24" s="3">
        <f t="shared" si="8"/>
        <v>19200</v>
      </c>
      <c r="H24" s="3">
        <f t="shared" si="8"/>
        <v>19200</v>
      </c>
      <c r="I24" s="3">
        <f t="shared" si="8"/>
        <v>19200</v>
      </c>
      <c r="J24" s="3">
        <f t="shared" si="8"/>
        <v>19200</v>
      </c>
      <c r="K24" s="3">
        <f t="shared" si="8"/>
        <v>19200</v>
      </c>
      <c r="L24" s="3">
        <f t="shared" si="8"/>
        <v>19200</v>
      </c>
      <c r="M24" s="3">
        <f t="shared" si="8"/>
        <v>19200</v>
      </c>
      <c r="N24" s="16">
        <f t="shared" si="8"/>
        <v>98476.479999999996</v>
      </c>
    </row>
    <row r="25" spans="1:14" x14ac:dyDescent="0.25">
      <c r="B25" s="26" t="s">
        <v>36</v>
      </c>
      <c r="C25" s="27">
        <f>ROUND((IF(C23&gt;C24,(C23-C24),0)),0)</f>
        <v>6400</v>
      </c>
      <c r="D25" s="27">
        <f t="shared" ref="D25:N25" si="9">ROUND((IF(D23&gt;D24,(D23-D24),0)),0)</f>
        <v>5499</v>
      </c>
      <c r="E25" s="27">
        <f t="shared" si="9"/>
        <v>2371</v>
      </c>
      <c r="F25" s="27">
        <f t="shared" si="9"/>
        <v>0</v>
      </c>
      <c r="G25" s="27">
        <f t="shared" si="9"/>
        <v>1253</v>
      </c>
      <c r="H25" s="27">
        <f t="shared" si="9"/>
        <v>4642</v>
      </c>
      <c r="I25" s="27">
        <f t="shared" si="9"/>
        <v>8566</v>
      </c>
      <c r="J25" s="27">
        <f t="shared" si="9"/>
        <v>7847</v>
      </c>
      <c r="K25" s="27">
        <f t="shared" si="9"/>
        <v>13531</v>
      </c>
      <c r="L25" s="27">
        <f t="shared" si="9"/>
        <v>12076</v>
      </c>
      <c r="M25" s="27">
        <f t="shared" si="9"/>
        <v>36285</v>
      </c>
      <c r="N25" s="28">
        <f t="shared" si="9"/>
        <v>0</v>
      </c>
    </row>
    <row r="26" spans="1:14" x14ac:dyDescent="0.25">
      <c r="B26" s="29" t="s">
        <v>37</v>
      </c>
      <c r="C26" s="30">
        <f>ROUND((IF(C23&lt;C24,(C24-C23),0)),0)</f>
        <v>0</v>
      </c>
      <c r="D26" s="30">
        <f t="shared" ref="D26:N26" si="10">ROUND((IF(D23&lt;D24,(D24-D23),0)),0)</f>
        <v>0</v>
      </c>
      <c r="E26" s="30">
        <f t="shared" si="10"/>
        <v>0</v>
      </c>
      <c r="F26" s="30">
        <f t="shared" si="10"/>
        <v>722</v>
      </c>
      <c r="G26" s="30">
        <f t="shared" si="10"/>
        <v>0</v>
      </c>
      <c r="H26" s="30">
        <f t="shared" si="10"/>
        <v>0</v>
      </c>
      <c r="I26" s="30">
        <f t="shared" si="10"/>
        <v>0</v>
      </c>
      <c r="J26" s="30">
        <f t="shared" si="10"/>
        <v>0</v>
      </c>
      <c r="K26" s="30">
        <f t="shared" si="10"/>
        <v>0</v>
      </c>
      <c r="L26" s="30">
        <f t="shared" si="10"/>
        <v>0</v>
      </c>
      <c r="M26" s="30">
        <f t="shared" si="10"/>
        <v>0</v>
      </c>
      <c r="N26" s="31">
        <f t="shared" si="10"/>
        <v>2273</v>
      </c>
    </row>
    <row r="27" spans="1:14" ht="15.75" thickBot="1" x14ac:dyDescent="0.3">
      <c r="B27" s="25" t="s">
        <v>35</v>
      </c>
      <c r="C27" s="20">
        <v>120000</v>
      </c>
      <c r="D27" s="20">
        <v>120000</v>
      </c>
      <c r="E27" s="20">
        <v>120000</v>
      </c>
      <c r="F27" s="20">
        <v>120000</v>
      </c>
      <c r="G27" s="20">
        <v>120000</v>
      </c>
      <c r="H27" s="20">
        <v>120000</v>
      </c>
      <c r="I27" s="20">
        <v>120000</v>
      </c>
      <c r="J27" s="20">
        <v>120000</v>
      </c>
      <c r="K27" s="20">
        <v>120000</v>
      </c>
      <c r="L27" s="20">
        <v>120000</v>
      </c>
      <c r="M27" s="20">
        <v>120000</v>
      </c>
      <c r="N27" s="21">
        <v>615478</v>
      </c>
    </row>
  </sheetData>
  <mergeCells count="6">
    <mergeCell ref="B18:F18"/>
    <mergeCell ref="B1:B2"/>
    <mergeCell ref="E1:E2"/>
    <mergeCell ref="B4:B5"/>
    <mergeCell ref="E4:E5"/>
    <mergeCell ref="B7:N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1804-9351-4D7F-8209-D6F2DB790875}">
  <dimension ref="A1:P17"/>
  <sheetViews>
    <sheetView workbookViewId="0">
      <selection activeCell="M3" sqref="M3:M14"/>
    </sheetView>
  </sheetViews>
  <sheetFormatPr baseColWidth="10" defaultRowHeight="15" x14ac:dyDescent="0.25"/>
  <cols>
    <col min="2" max="2" width="15.28515625" customWidth="1"/>
    <col min="4" max="4" width="17" customWidth="1"/>
    <col min="5" max="5" width="13.140625" bestFit="1" customWidth="1"/>
    <col min="6" max="6" width="14.85546875" customWidth="1"/>
    <col min="7" max="7" width="12.42578125" customWidth="1"/>
    <col min="9" max="10" width="14.28515625" customWidth="1"/>
    <col min="11" max="12" width="15.7109375" customWidth="1"/>
  </cols>
  <sheetData>
    <row r="1" spans="1:16" ht="16.5" thickBot="1" x14ac:dyDescent="0.3">
      <c r="A1" s="90" t="s">
        <v>71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6" s="33" customFormat="1" ht="45.75" customHeight="1" x14ac:dyDescent="0.25">
      <c r="A2" s="37"/>
      <c r="B2" s="38" t="s">
        <v>44</v>
      </c>
      <c r="C2" s="38" t="s">
        <v>45</v>
      </c>
      <c r="D2" s="48" t="s">
        <v>47</v>
      </c>
      <c r="E2" s="38" t="s">
        <v>46</v>
      </c>
      <c r="F2" s="38" t="s">
        <v>60</v>
      </c>
      <c r="G2" s="39" t="s">
        <v>61</v>
      </c>
      <c r="H2" s="39" t="s">
        <v>62</v>
      </c>
      <c r="I2" s="47" t="s">
        <v>63</v>
      </c>
      <c r="J2" s="39" t="s">
        <v>66</v>
      </c>
      <c r="K2" s="39" t="s">
        <v>64</v>
      </c>
      <c r="L2" s="53" t="s">
        <v>67</v>
      </c>
      <c r="M2" s="40" t="s">
        <v>65</v>
      </c>
    </row>
    <row r="3" spans="1:16" x14ac:dyDescent="0.25">
      <c r="A3" s="41" t="s">
        <v>48</v>
      </c>
      <c r="B3" s="35">
        <v>450256</v>
      </c>
      <c r="C3" s="35">
        <v>125003</v>
      </c>
      <c r="D3" s="49">
        <f>+B3+C3</f>
        <v>575259</v>
      </c>
      <c r="E3" s="35">
        <v>120823</v>
      </c>
      <c r="F3" s="35">
        <f>(B3+E3)*0.16</f>
        <v>91372.64</v>
      </c>
      <c r="G3" s="36">
        <f>+B3*0.65</f>
        <v>292666.40000000002</v>
      </c>
      <c r="H3" s="36">
        <f>+C3*0.65</f>
        <v>81251.95</v>
      </c>
      <c r="I3" s="51">
        <f>G3+H3</f>
        <v>373918.35000000003</v>
      </c>
      <c r="J3" s="36">
        <v>79100</v>
      </c>
      <c r="K3" s="36">
        <v>25312</v>
      </c>
      <c r="L3" s="54"/>
      <c r="M3" s="42">
        <f>(G3+J3+K3)*0.16</f>
        <v>63532.544000000002</v>
      </c>
      <c r="N3" s="34"/>
      <c r="O3" s="34"/>
      <c r="P3" s="34"/>
    </row>
    <row r="4" spans="1:16" x14ac:dyDescent="0.25">
      <c r="A4" s="41" t="s">
        <v>49</v>
      </c>
      <c r="B4" s="35">
        <v>452946</v>
      </c>
      <c r="C4" s="35">
        <v>126029</v>
      </c>
      <c r="D4" s="49">
        <f t="shared" ref="D4:D14" si="0">+B4+C4</f>
        <v>578975</v>
      </c>
      <c r="E4" s="35">
        <f>+C3</f>
        <v>125003</v>
      </c>
      <c r="F4" s="35">
        <f t="shared" ref="F4:F14" si="1">(B4+E4)*0.16</f>
        <v>92471.84</v>
      </c>
      <c r="G4" s="36">
        <f t="shared" ref="G4:G14" si="2">+B4*0.65</f>
        <v>294414.90000000002</v>
      </c>
      <c r="H4" s="36">
        <f t="shared" ref="H4:H14" si="3">+C4*0.65</f>
        <v>81918.850000000006</v>
      </c>
      <c r="I4" s="51">
        <f t="shared" ref="I4:I14" si="4">G4+H4</f>
        <v>376333.75</v>
      </c>
      <c r="J4" s="36">
        <f>+H3</f>
        <v>81251.95</v>
      </c>
      <c r="K4" s="36">
        <v>25405</v>
      </c>
      <c r="L4" s="54"/>
      <c r="M4" s="42">
        <f t="shared" ref="M4:M14" si="5">(G4+J4+K4)*0.16</f>
        <v>64171.496000000006</v>
      </c>
      <c r="N4" s="34"/>
      <c r="O4" s="34"/>
      <c r="P4" s="34"/>
    </row>
    <row r="5" spans="1:16" x14ac:dyDescent="0.25">
      <c r="A5" s="41" t="s">
        <v>50</v>
      </c>
      <c r="B5" s="35">
        <v>398150</v>
      </c>
      <c r="C5" s="35">
        <v>102949</v>
      </c>
      <c r="D5" s="49">
        <f t="shared" si="0"/>
        <v>501099</v>
      </c>
      <c r="E5" s="35">
        <f t="shared" ref="E5:E14" si="6">+C4</f>
        <v>126029</v>
      </c>
      <c r="F5" s="35">
        <f t="shared" si="1"/>
        <v>83868.639999999999</v>
      </c>
      <c r="G5" s="36">
        <f t="shared" si="2"/>
        <v>258797.5</v>
      </c>
      <c r="H5" s="36">
        <f t="shared" si="3"/>
        <v>66916.850000000006</v>
      </c>
      <c r="I5" s="51">
        <f t="shared" si="4"/>
        <v>325714.34999999998</v>
      </c>
      <c r="J5" s="36">
        <f t="shared" ref="J5:J14" si="7">+H4</f>
        <v>81918.850000000006</v>
      </c>
      <c r="K5" s="36">
        <v>25498</v>
      </c>
      <c r="L5" s="54"/>
      <c r="M5" s="42">
        <f t="shared" si="5"/>
        <v>58594.295999999995</v>
      </c>
      <c r="N5" s="34"/>
      <c r="O5" s="34"/>
      <c r="P5" s="34"/>
    </row>
    <row r="6" spans="1:16" x14ac:dyDescent="0.25">
      <c r="A6" s="41" t="s">
        <v>51</v>
      </c>
      <c r="B6" s="35">
        <v>460284</v>
      </c>
      <c r="C6" s="35">
        <v>128730</v>
      </c>
      <c r="D6" s="49">
        <f t="shared" si="0"/>
        <v>589014</v>
      </c>
      <c r="E6" s="35">
        <f t="shared" si="6"/>
        <v>102949</v>
      </c>
      <c r="F6" s="35">
        <f t="shared" si="1"/>
        <v>90117.28</v>
      </c>
      <c r="G6" s="36">
        <f t="shared" si="2"/>
        <v>299184.60000000003</v>
      </c>
      <c r="H6" s="36">
        <f t="shared" si="3"/>
        <v>83674.5</v>
      </c>
      <c r="I6" s="51">
        <f t="shared" si="4"/>
        <v>382859.10000000003</v>
      </c>
      <c r="J6" s="36">
        <f t="shared" si="7"/>
        <v>66916.850000000006</v>
      </c>
      <c r="K6" s="36">
        <v>25591</v>
      </c>
      <c r="L6" s="54"/>
      <c r="M6" s="42">
        <f t="shared" si="5"/>
        <v>62670.792000000016</v>
      </c>
      <c r="N6" s="34"/>
      <c r="O6" s="34"/>
      <c r="P6" s="34"/>
    </row>
    <row r="7" spans="1:16" x14ac:dyDescent="0.25">
      <c r="A7" s="41" t="s">
        <v>52</v>
      </c>
      <c r="B7" s="35">
        <v>434231</v>
      </c>
      <c r="C7" s="35">
        <v>140926</v>
      </c>
      <c r="D7" s="49">
        <f t="shared" si="0"/>
        <v>575157</v>
      </c>
      <c r="E7" s="35">
        <f t="shared" si="6"/>
        <v>128730</v>
      </c>
      <c r="F7" s="35">
        <f t="shared" si="1"/>
        <v>90073.76</v>
      </c>
      <c r="G7" s="36">
        <f t="shared" si="2"/>
        <v>282250.15000000002</v>
      </c>
      <c r="H7" s="36">
        <f t="shared" si="3"/>
        <v>91601.900000000009</v>
      </c>
      <c r="I7" s="51">
        <f t="shared" si="4"/>
        <v>373852.05000000005</v>
      </c>
      <c r="J7" s="36">
        <f t="shared" si="7"/>
        <v>83674.5</v>
      </c>
      <c r="K7" s="36">
        <v>25684</v>
      </c>
      <c r="L7" s="56">
        <v>80000</v>
      </c>
      <c r="M7" s="42">
        <f t="shared" si="5"/>
        <v>62657.384000000005</v>
      </c>
      <c r="N7" s="34"/>
      <c r="O7" s="34"/>
      <c r="P7" s="34"/>
    </row>
    <row r="8" spans="1:16" x14ac:dyDescent="0.25">
      <c r="A8" s="41" t="s">
        <v>53</v>
      </c>
      <c r="B8" s="35">
        <v>431759.8</v>
      </c>
      <c r="C8" s="35">
        <v>135091.5</v>
      </c>
      <c r="D8" s="49">
        <f t="shared" si="0"/>
        <v>566851.30000000005</v>
      </c>
      <c r="E8" s="35">
        <f t="shared" si="6"/>
        <v>140926</v>
      </c>
      <c r="F8" s="35">
        <f t="shared" si="1"/>
        <v>91629.728000000003</v>
      </c>
      <c r="G8" s="36">
        <f t="shared" si="2"/>
        <v>280643.87</v>
      </c>
      <c r="H8" s="36">
        <f t="shared" si="3"/>
        <v>87809.475000000006</v>
      </c>
      <c r="I8" s="51">
        <f t="shared" si="4"/>
        <v>368453.34499999997</v>
      </c>
      <c r="J8" s="36">
        <f t="shared" si="7"/>
        <v>91601.900000000009</v>
      </c>
      <c r="K8" s="36">
        <v>25777</v>
      </c>
      <c r="L8" s="54"/>
      <c r="M8" s="42">
        <f t="shared" si="5"/>
        <v>63683.643200000006</v>
      </c>
      <c r="N8" s="34"/>
      <c r="O8" s="34"/>
      <c r="P8" s="34"/>
    </row>
    <row r="9" spans="1:16" x14ac:dyDescent="0.25">
      <c r="A9" s="41" t="s">
        <v>54</v>
      </c>
      <c r="B9" s="35">
        <v>429288.6</v>
      </c>
      <c r="C9" s="35">
        <v>138546.20000000001</v>
      </c>
      <c r="D9" s="49">
        <f t="shared" si="0"/>
        <v>567834.80000000005</v>
      </c>
      <c r="E9" s="35">
        <f t="shared" si="6"/>
        <v>135091.5</v>
      </c>
      <c r="F9" s="35">
        <f t="shared" si="1"/>
        <v>90300.815999999992</v>
      </c>
      <c r="G9" s="36">
        <f t="shared" si="2"/>
        <v>279037.58999999997</v>
      </c>
      <c r="H9" s="36">
        <f t="shared" si="3"/>
        <v>90055.030000000013</v>
      </c>
      <c r="I9" s="51">
        <f t="shared" si="4"/>
        <v>369092.62</v>
      </c>
      <c r="J9" s="36">
        <f t="shared" si="7"/>
        <v>87809.475000000006</v>
      </c>
      <c r="K9" s="36">
        <v>25870</v>
      </c>
      <c r="L9" s="54"/>
      <c r="M9" s="42">
        <f t="shared" si="5"/>
        <v>62834.730399999993</v>
      </c>
      <c r="N9" s="34"/>
      <c r="O9" s="34"/>
      <c r="P9" s="34"/>
    </row>
    <row r="10" spans="1:16" x14ac:dyDescent="0.25">
      <c r="A10" s="41" t="s">
        <v>55</v>
      </c>
      <c r="B10" s="35">
        <v>426817.4</v>
      </c>
      <c r="C10" s="35">
        <v>142000.9</v>
      </c>
      <c r="D10" s="49">
        <f t="shared" si="0"/>
        <v>568818.30000000005</v>
      </c>
      <c r="E10" s="35">
        <f t="shared" si="6"/>
        <v>138546.20000000001</v>
      </c>
      <c r="F10" s="35">
        <f t="shared" si="1"/>
        <v>90458.176000000021</v>
      </c>
      <c r="G10" s="36">
        <f t="shared" si="2"/>
        <v>277431.31</v>
      </c>
      <c r="H10" s="36">
        <f t="shared" si="3"/>
        <v>92300.585000000006</v>
      </c>
      <c r="I10" s="51">
        <f t="shared" si="4"/>
        <v>369731.89500000002</v>
      </c>
      <c r="J10" s="36">
        <f t="shared" si="7"/>
        <v>90055.030000000013</v>
      </c>
      <c r="K10" s="36">
        <v>25963</v>
      </c>
      <c r="L10" s="54"/>
      <c r="M10" s="42">
        <f t="shared" si="5"/>
        <v>62951.894400000005</v>
      </c>
      <c r="N10" s="34"/>
      <c r="O10" s="34"/>
      <c r="P10" s="34"/>
    </row>
    <row r="11" spans="1:16" x14ac:dyDescent="0.25">
      <c r="A11" s="41" t="s">
        <v>56</v>
      </c>
      <c r="B11" s="35">
        <v>424346.2</v>
      </c>
      <c r="C11" s="35">
        <v>145455.6</v>
      </c>
      <c r="D11" s="49">
        <f t="shared" si="0"/>
        <v>569801.80000000005</v>
      </c>
      <c r="E11" s="35">
        <f t="shared" si="6"/>
        <v>142000.9</v>
      </c>
      <c r="F11" s="35">
        <f t="shared" si="1"/>
        <v>90615.535999999993</v>
      </c>
      <c r="G11" s="36">
        <f t="shared" si="2"/>
        <v>275825.03000000003</v>
      </c>
      <c r="H11" s="36">
        <f t="shared" si="3"/>
        <v>94546.140000000014</v>
      </c>
      <c r="I11" s="51">
        <f t="shared" si="4"/>
        <v>370371.17000000004</v>
      </c>
      <c r="J11" s="36">
        <f t="shared" si="7"/>
        <v>92300.585000000006</v>
      </c>
      <c r="K11" s="36">
        <v>26056</v>
      </c>
      <c r="L11" s="54"/>
      <c r="M11" s="42">
        <f t="shared" si="5"/>
        <v>63069.058400000009</v>
      </c>
      <c r="N11" s="34"/>
      <c r="O11" s="34"/>
      <c r="P11" s="34"/>
    </row>
    <row r="12" spans="1:16" x14ac:dyDescent="0.25">
      <c r="A12" s="41" t="s">
        <v>57</v>
      </c>
      <c r="B12" s="35">
        <v>421875</v>
      </c>
      <c r="C12" s="35">
        <v>148910.29999999999</v>
      </c>
      <c r="D12" s="49">
        <f t="shared" si="0"/>
        <v>570785.30000000005</v>
      </c>
      <c r="E12" s="35">
        <f t="shared" si="6"/>
        <v>145455.6</v>
      </c>
      <c r="F12" s="35">
        <f t="shared" si="1"/>
        <v>90772.895999999993</v>
      </c>
      <c r="G12" s="36">
        <f t="shared" si="2"/>
        <v>274218.75</v>
      </c>
      <c r="H12" s="36">
        <f t="shared" si="3"/>
        <v>96791.694999999992</v>
      </c>
      <c r="I12" s="51">
        <f t="shared" si="4"/>
        <v>371010.44500000001</v>
      </c>
      <c r="J12" s="36">
        <f t="shared" si="7"/>
        <v>94546.140000000014</v>
      </c>
      <c r="K12" s="36">
        <v>26149</v>
      </c>
      <c r="L12" s="54"/>
      <c r="M12" s="42">
        <f t="shared" si="5"/>
        <v>63186.222400000006</v>
      </c>
      <c r="N12" s="34"/>
      <c r="O12" s="34"/>
      <c r="P12" s="34"/>
    </row>
    <row r="13" spans="1:16" x14ac:dyDescent="0.25">
      <c r="A13" s="41" t="s">
        <v>58</v>
      </c>
      <c r="B13" s="35">
        <v>419403.8</v>
      </c>
      <c r="C13" s="35">
        <v>152365</v>
      </c>
      <c r="D13" s="49">
        <f t="shared" si="0"/>
        <v>571768.80000000005</v>
      </c>
      <c r="E13" s="35">
        <f t="shared" si="6"/>
        <v>148910.29999999999</v>
      </c>
      <c r="F13" s="35">
        <f t="shared" si="1"/>
        <v>90930.255999999994</v>
      </c>
      <c r="G13" s="36">
        <f t="shared" si="2"/>
        <v>272612.47000000003</v>
      </c>
      <c r="H13" s="36">
        <f t="shared" si="3"/>
        <v>99037.25</v>
      </c>
      <c r="I13" s="51">
        <f t="shared" si="4"/>
        <v>371649.72000000003</v>
      </c>
      <c r="J13" s="36">
        <f t="shared" si="7"/>
        <v>96791.694999999992</v>
      </c>
      <c r="K13" s="36">
        <v>26242</v>
      </c>
      <c r="L13" s="54"/>
      <c r="M13" s="42">
        <f t="shared" si="5"/>
        <v>63303.38640000001</v>
      </c>
      <c r="N13" s="34"/>
      <c r="O13" s="34"/>
      <c r="P13" s="34"/>
    </row>
    <row r="14" spans="1:16" ht="15.75" thickBot="1" x14ac:dyDescent="0.3">
      <c r="A14" s="43" t="s">
        <v>59</v>
      </c>
      <c r="B14" s="44">
        <v>416932.6</v>
      </c>
      <c r="C14" s="44">
        <v>155819.70000000001</v>
      </c>
      <c r="D14" s="50">
        <f t="shared" si="0"/>
        <v>572752.30000000005</v>
      </c>
      <c r="E14" s="44">
        <f t="shared" si="6"/>
        <v>152365</v>
      </c>
      <c r="F14" s="44">
        <f t="shared" si="1"/>
        <v>91087.615999999995</v>
      </c>
      <c r="G14" s="45">
        <f t="shared" si="2"/>
        <v>271006.19</v>
      </c>
      <c r="H14" s="45">
        <f t="shared" si="3"/>
        <v>101282.80500000001</v>
      </c>
      <c r="I14" s="52">
        <f t="shared" si="4"/>
        <v>372288.995</v>
      </c>
      <c r="J14" s="45">
        <f t="shared" si="7"/>
        <v>99037.25</v>
      </c>
      <c r="K14" s="45">
        <v>26335</v>
      </c>
      <c r="L14" s="55"/>
      <c r="M14" s="46">
        <f t="shared" si="5"/>
        <v>63420.5504</v>
      </c>
      <c r="N14" s="34"/>
      <c r="O14" s="34"/>
      <c r="P14" s="34"/>
    </row>
    <row r="15" spans="1:16" ht="48" customHeight="1" x14ac:dyDescent="0.25">
      <c r="A15" s="91" t="s">
        <v>72</v>
      </c>
      <c r="B15" s="92"/>
      <c r="C15" s="75"/>
      <c r="D15" s="76" t="s">
        <v>68</v>
      </c>
      <c r="E15" s="76" t="s">
        <v>69</v>
      </c>
      <c r="F15" s="76" t="s">
        <v>70</v>
      </c>
      <c r="G15" s="77" t="s">
        <v>73</v>
      </c>
    </row>
    <row r="16" spans="1:16" x14ac:dyDescent="0.25">
      <c r="A16" s="93"/>
      <c r="B16" s="94"/>
      <c r="C16" s="73">
        <v>2017</v>
      </c>
      <c r="D16" s="74">
        <v>5328461</v>
      </c>
      <c r="E16" s="74">
        <v>65000</v>
      </c>
      <c r="F16" s="74">
        <f>+D16*0.18</f>
        <v>959122.98</v>
      </c>
      <c r="G16" s="82">
        <f>TRUNC((F16/(D16-E16)),4)</f>
        <v>0.1822</v>
      </c>
    </row>
    <row r="17" spans="1:7" x14ac:dyDescent="0.25">
      <c r="A17" s="93"/>
      <c r="B17" s="94"/>
      <c r="C17" s="73">
        <v>2016</v>
      </c>
      <c r="D17" s="74">
        <v>5325876</v>
      </c>
      <c r="E17" s="74">
        <v>14500</v>
      </c>
      <c r="F17" s="74">
        <f>+D17*0.19</f>
        <v>1011916.4400000001</v>
      </c>
      <c r="G17" s="82">
        <f>TRUNC((F17/(D17-E17)),4)</f>
        <v>0.1905</v>
      </c>
    </row>
  </sheetData>
  <mergeCells count="2">
    <mergeCell ref="A1:M1"/>
    <mergeCell ref="A15:B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F442-715B-4551-A86F-1FA321A399AB}">
  <dimension ref="A1:M20"/>
  <sheetViews>
    <sheetView tabSelected="1" workbookViewId="0">
      <selection activeCell="L16" sqref="L16"/>
    </sheetView>
  </sheetViews>
  <sheetFormatPr baseColWidth="10" defaultRowHeight="15" x14ac:dyDescent="0.25"/>
  <cols>
    <col min="1" max="1" width="46.42578125" style="34" customWidth="1"/>
    <col min="2" max="2" width="11.42578125" style="34"/>
    <col min="3" max="13" width="13.140625" style="34" bestFit="1" customWidth="1"/>
    <col min="14" max="16384" width="11.42578125" style="34"/>
  </cols>
  <sheetData>
    <row r="1" spans="1:13" x14ac:dyDescent="0.25">
      <c r="A1" s="95" t="s">
        <v>86</v>
      </c>
      <c r="B1" s="66" t="s">
        <v>48</v>
      </c>
      <c r="C1" s="60" t="s">
        <v>49</v>
      </c>
      <c r="D1" s="66" t="s">
        <v>50</v>
      </c>
      <c r="E1" s="60" t="s">
        <v>51</v>
      </c>
      <c r="F1" s="66" t="s">
        <v>52</v>
      </c>
      <c r="G1" s="60" t="s">
        <v>53</v>
      </c>
      <c r="H1" s="66" t="s">
        <v>54</v>
      </c>
      <c r="I1" s="60" t="s">
        <v>55</v>
      </c>
      <c r="J1" s="66" t="s">
        <v>56</v>
      </c>
      <c r="K1" s="60" t="s">
        <v>57</v>
      </c>
      <c r="L1" s="66" t="s">
        <v>58</v>
      </c>
      <c r="M1" s="61" t="s">
        <v>59</v>
      </c>
    </row>
    <row r="2" spans="1:13" x14ac:dyDescent="0.25">
      <c r="A2" s="57" t="s">
        <v>74</v>
      </c>
      <c r="B2" s="67">
        <v>575259</v>
      </c>
      <c r="C2" s="62">
        <v>578975</v>
      </c>
      <c r="D2" s="67">
        <v>501099</v>
      </c>
      <c r="E2" s="62">
        <v>589014</v>
      </c>
      <c r="F2" s="67">
        <v>575157</v>
      </c>
      <c r="G2" s="62">
        <v>566851.30000000005</v>
      </c>
      <c r="H2" s="67">
        <v>567834.80000000005</v>
      </c>
      <c r="I2" s="62">
        <v>568818.30000000005</v>
      </c>
      <c r="J2" s="67">
        <v>569801.80000000005</v>
      </c>
      <c r="K2" s="62">
        <v>570785.30000000005</v>
      </c>
      <c r="L2" s="67">
        <v>571768.80000000005</v>
      </c>
      <c r="M2" s="63">
        <v>572752.30000000005</v>
      </c>
    </row>
    <row r="3" spans="1:13" x14ac:dyDescent="0.25">
      <c r="A3" s="58" t="s">
        <v>75</v>
      </c>
      <c r="B3" s="68">
        <v>0</v>
      </c>
      <c r="C3" s="59">
        <f>B4</f>
        <v>575259</v>
      </c>
      <c r="D3" s="59">
        <f t="shared" ref="D3:M3" si="0">C4</f>
        <v>1154234</v>
      </c>
      <c r="E3" s="59">
        <f t="shared" si="0"/>
        <v>1655333</v>
      </c>
      <c r="F3" s="59">
        <f t="shared" si="0"/>
        <v>2244347</v>
      </c>
      <c r="G3" s="59">
        <f t="shared" si="0"/>
        <v>2819504</v>
      </c>
      <c r="H3" s="59">
        <f t="shared" si="0"/>
        <v>3386355.3</v>
      </c>
      <c r="I3" s="59">
        <f t="shared" si="0"/>
        <v>3954190.0999999996</v>
      </c>
      <c r="J3" s="59">
        <f t="shared" si="0"/>
        <v>4523008.3999999994</v>
      </c>
      <c r="K3" s="59">
        <f t="shared" si="0"/>
        <v>5092810.1999999993</v>
      </c>
      <c r="L3" s="59">
        <f t="shared" si="0"/>
        <v>5663595.4999999991</v>
      </c>
      <c r="M3" s="64">
        <f t="shared" si="0"/>
        <v>6235364.2999999989</v>
      </c>
    </row>
    <row r="4" spans="1:13" x14ac:dyDescent="0.25">
      <c r="A4" s="57" t="s">
        <v>77</v>
      </c>
      <c r="B4" s="70">
        <f>SUM(B2:B3)</f>
        <v>575259</v>
      </c>
      <c r="C4" s="78">
        <f t="shared" ref="C4:M4" si="1">SUM(C2:C3)</f>
        <v>1154234</v>
      </c>
      <c r="D4" s="70">
        <f t="shared" si="1"/>
        <v>1655333</v>
      </c>
      <c r="E4" s="71">
        <f t="shared" si="1"/>
        <v>2244347</v>
      </c>
      <c r="F4" s="70">
        <f t="shared" si="1"/>
        <v>2819504</v>
      </c>
      <c r="G4" s="71">
        <f t="shared" si="1"/>
        <v>3386355.3</v>
      </c>
      <c r="H4" s="70">
        <f t="shared" si="1"/>
        <v>3954190.0999999996</v>
      </c>
      <c r="I4" s="71">
        <f t="shared" si="1"/>
        <v>4523008.3999999994</v>
      </c>
      <c r="J4" s="70">
        <f t="shared" si="1"/>
        <v>5092810.1999999993</v>
      </c>
      <c r="K4" s="71">
        <f t="shared" si="1"/>
        <v>5663595.4999999991</v>
      </c>
      <c r="L4" s="70">
        <f t="shared" si="1"/>
        <v>6235364.2999999989</v>
      </c>
      <c r="M4" s="72">
        <f t="shared" si="1"/>
        <v>6808116.5999999987</v>
      </c>
    </row>
    <row r="5" spans="1:13" x14ac:dyDescent="0.25">
      <c r="A5" s="58" t="s">
        <v>81</v>
      </c>
      <c r="B5" s="83">
        <f>Datos!$G$17</f>
        <v>0.1905</v>
      </c>
      <c r="C5" s="7">
        <f>Datos!$G$17</f>
        <v>0.1905</v>
      </c>
      <c r="D5" s="83">
        <f>Datos!$G$16</f>
        <v>0.1822</v>
      </c>
      <c r="E5" s="7">
        <f>Datos!$G$16</f>
        <v>0.1822</v>
      </c>
      <c r="F5" s="83">
        <f>Datos!$G$16</f>
        <v>0.1822</v>
      </c>
      <c r="G5" s="7">
        <f>Datos!$G$16</f>
        <v>0.1822</v>
      </c>
      <c r="H5" s="83">
        <f>Datos!$G$16</f>
        <v>0.1822</v>
      </c>
      <c r="I5" s="7">
        <f>Datos!$G$16</f>
        <v>0.1822</v>
      </c>
      <c r="J5" s="83">
        <f>Datos!$G$16</f>
        <v>0.1822</v>
      </c>
      <c r="K5" s="7">
        <f>Datos!$G$16</f>
        <v>0.1822</v>
      </c>
      <c r="L5" s="83">
        <f>Datos!$G$16</f>
        <v>0.1822</v>
      </c>
      <c r="M5" s="18">
        <f>Datos!$G$16</f>
        <v>0.1822</v>
      </c>
    </row>
    <row r="6" spans="1:13" x14ac:dyDescent="0.25">
      <c r="A6" s="57" t="s">
        <v>76</v>
      </c>
      <c r="B6" s="70">
        <f>+B4*B5</f>
        <v>109586.8395</v>
      </c>
      <c r="C6" s="71">
        <f t="shared" ref="C6:M6" si="2">+C4*C5</f>
        <v>219881.57699999999</v>
      </c>
      <c r="D6" s="70">
        <f t="shared" si="2"/>
        <v>301601.67259999999</v>
      </c>
      <c r="E6" s="71">
        <f t="shared" si="2"/>
        <v>408920.02340000001</v>
      </c>
      <c r="F6" s="70">
        <f t="shared" si="2"/>
        <v>513713.62880000001</v>
      </c>
      <c r="G6" s="71">
        <f t="shared" si="2"/>
        <v>616993.93565999996</v>
      </c>
      <c r="H6" s="70">
        <f t="shared" si="2"/>
        <v>720453.43621999992</v>
      </c>
      <c r="I6" s="71">
        <f t="shared" si="2"/>
        <v>824092.13047999993</v>
      </c>
      <c r="J6" s="70">
        <f t="shared" si="2"/>
        <v>927910.0184399999</v>
      </c>
      <c r="K6" s="71">
        <f t="shared" si="2"/>
        <v>1031907.1000999998</v>
      </c>
      <c r="L6" s="70">
        <f t="shared" si="2"/>
        <v>1136083.3754599998</v>
      </c>
      <c r="M6" s="72">
        <f t="shared" si="2"/>
        <v>1240438.8445199998</v>
      </c>
    </row>
    <row r="7" spans="1:13" x14ac:dyDescent="0.25">
      <c r="A7" s="58" t="s">
        <v>83</v>
      </c>
      <c r="B7" s="68"/>
      <c r="C7" s="59"/>
      <c r="D7" s="68"/>
      <c r="E7" s="59"/>
      <c r="F7" s="68"/>
      <c r="G7" s="59"/>
      <c r="H7" s="68"/>
      <c r="I7" s="59"/>
      <c r="J7" s="68"/>
      <c r="K7" s="59"/>
      <c r="L7" s="68"/>
      <c r="M7" s="64"/>
    </row>
    <row r="8" spans="1:13" x14ac:dyDescent="0.25">
      <c r="A8" s="57" t="s">
        <v>78</v>
      </c>
      <c r="B8" s="70">
        <f>+B6-B7</f>
        <v>109586.8395</v>
      </c>
      <c r="C8" s="71">
        <f t="shared" ref="C8:M8" si="3">+C6-C7</f>
        <v>219881.57699999999</v>
      </c>
      <c r="D8" s="70">
        <f t="shared" si="3"/>
        <v>301601.67259999999</v>
      </c>
      <c r="E8" s="71">
        <f t="shared" si="3"/>
        <v>408920.02340000001</v>
      </c>
      <c r="F8" s="70">
        <f t="shared" si="3"/>
        <v>513713.62880000001</v>
      </c>
      <c r="G8" s="71">
        <f t="shared" si="3"/>
        <v>616993.93565999996</v>
      </c>
      <c r="H8" s="70">
        <f t="shared" si="3"/>
        <v>720453.43621999992</v>
      </c>
      <c r="I8" s="71">
        <f t="shared" si="3"/>
        <v>824092.13047999993</v>
      </c>
      <c r="J8" s="70">
        <f t="shared" si="3"/>
        <v>927910.0184399999</v>
      </c>
      <c r="K8" s="71">
        <f t="shared" si="3"/>
        <v>1031907.1000999998</v>
      </c>
      <c r="L8" s="70">
        <f t="shared" si="3"/>
        <v>1136083.3754599998</v>
      </c>
      <c r="M8" s="72">
        <f t="shared" si="3"/>
        <v>1240438.8445199998</v>
      </c>
    </row>
    <row r="9" spans="1:13" x14ac:dyDescent="0.25">
      <c r="A9" s="58" t="s">
        <v>84</v>
      </c>
      <c r="B9" s="68"/>
      <c r="C9" s="59"/>
      <c r="D9" s="68"/>
      <c r="E9" s="59"/>
      <c r="F9" s="68">
        <f>Datos!$L$7*(1/8)</f>
        <v>10000</v>
      </c>
      <c r="G9" s="68">
        <f>Datos!$L$7*(2/8)</f>
        <v>20000</v>
      </c>
      <c r="H9" s="68">
        <f>Datos!$L$7*(3/8)</f>
        <v>30000</v>
      </c>
      <c r="I9" s="68">
        <f>Datos!$L$7*(4/8)</f>
        <v>40000</v>
      </c>
      <c r="J9" s="68">
        <f>Datos!$L$7*(5/8)</f>
        <v>50000</v>
      </c>
      <c r="K9" s="68">
        <f>Datos!$L$7*(6/8)</f>
        <v>60000</v>
      </c>
      <c r="L9" s="68">
        <f>Datos!$L$7*(7/8)</f>
        <v>70000</v>
      </c>
      <c r="M9" s="64">
        <f>+Datos!L7</f>
        <v>80000</v>
      </c>
    </row>
    <row r="10" spans="1:13" x14ac:dyDescent="0.25">
      <c r="A10" s="57" t="s">
        <v>78</v>
      </c>
      <c r="B10" s="70">
        <f>+B8-B9</f>
        <v>109586.8395</v>
      </c>
      <c r="C10" s="71">
        <f t="shared" ref="C10:M10" si="4">+C8-C9</f>
        <v>219881.57699999999</v>
      </c>
      <c r="D10" s="70">
        <f t="shared" si="4"/>
        <v>301601.67259999999</v>
      </c>
      <c r="E10" s="71">
        <f t="shared" si="4"/>
        <v>408920.02340000001</v>
      </c>
      <c r="F10" s="70">
        <f t="shared" si="4"/>
        <v>503713.62880000001</v>
      </c>
      <c r="G10" s="71">
        <f t="shared" si="4"/>
        <v>596993.93565999996</v>
      </c>
      <c r="H10" s="70">
        <f t="shared" si="4"/>
        <v>690453.43621999992</v>
      </c>
      <c r="I10" s="71">
        <f t="shared" si="4"/>
        <v>784092.13047999993</v>
      </c>
      <c r="J10" s="70">
        <f t="shared" si="4"/>
        <v>877910.0184399999</v>
      </c>
      <c r="K10" s="71">
        <f t="shared" si="4"/>
        <v>971907.10009999981</v>
      </c>
      <c r="L10" s="70">
        <f t="shared" si="4"/>
        <v>1066083.3754599998</v>
      </c>
      <c r="M10" s="72">
        <f t="shared" si="4"/>
        <v>1160438.8445199998</v>
      </c>
    </row>
    <row r="11" spans="1:13" x14ac:dyDescent="0.25">
      <c r="A11" s="58" t="s">
        <v>82</v>
      </c>
      <c r="B11" s="79">
        <v>0.3</v>
      </c>
      <c r="C11" s="80">
        <v>0.3</v>
      </c>
      <c r="D11" s="79">
        <v>0.3</v>
      </c>
      <c r="E11" s="80">
        <v>0.3</v>
      </c>
      <c r="F11" s="79">
        <v>0.3</v>
      </c>
      <c r="G11" s="80">
        <v>0.3</v>
      </c>
      <c r="H11" s="79">
        <v>0.3</v>
      </c>
      <c r="I11" s="80">
        <v>0.3</v>
      </c>
      <c r="J11" s="79">
        <v>0.3</v>
      </c>
      <c r="K11" s="80">
        <v>0.3</v>
      </c>
      <c r="L11" s="79">
        <v>0.3</v>
      </c>
      <c r="M11" s="81">
        <v>0.3</v>
      </c>
    </row>
    <row r="12" spans="1:13" x14ac:dyDescent="0.25">
      <c r="A12" s="57" t="s">
        <v>79</v>
      </c>
      <c r="B12" s="70">
        <f>+B10*B11</f>
        <v>32876.051849999996</v>
      </c>
      <c r="C12" s="70">
        <f t="shared" ref="C12:M12" si="5">+C10*C11</f>
        <v>65964.473099999988</v>
      </c>
      <c r="D12" s="70">
        <f t="shared" si="5"/>
        <v>90480.501779999991</v>
      </c>
      <c r="E12" s="70">
        <f t="shared" si="5"/>
        <v>122676.00701999999</v>
      </c>
      <c r="F12" s="70">
        <f t="shared" si="5"/>
        <v>151114.08864</v>
      </c>
      <c r="G12" s="70">
        <f t="shared" si="5"/>
        <v>179098.18069799998</v>
      </c>
      <c r="H12" s="70">
        <f t="shared" si="5"/>
        <v>207136.03086599996</v>
      </c>
      <c r="I12" s="70">
        <f t="shared" si="5"/>
        <v>235227.63914399999</v>
      </c>
      <c r="J12" s="70">
        <f t="shared" si="5"/>
        <v>263373.00553199998</v>
      </c>
      <c r="K12" s="70">
        <f t="shared" si="5"/>
        <v>291572.13002999994</v>
      </c>
      <c r="L12" s="70">
        <f t="shared" si="5"/>
        <v>319825.0126379999</v>
      </c>
      <c r="M12" s="96">
        <f t="shared" si="5"/>
        <v>348131.65335599991</v>
      </c>
    </row>
    <row r="13" spans="1:13" x14ac:dyDescent="0.25">
      <c r="A13" s="58" t="s">
        <v>85</v>
      </c>
      <c r="B13" s="68">
        <v>0</v>
      </c>
      <c r="C13" s="59">
        <f>SUM(B14)</f>
        <v>32876</v>
      </c>
      <c r="D13" s="68">
        <f>SUM($B$14:C14)</f>
        <v>65964</v>
      </c>
      <c r="E13" s="59">
        <f>SUM($B$14:D14)</f>
        <v>90481</v>
      </c>
      <c r="F13" s="68">
        <f>SUM($B$14:E14)</f>
        <v>122676</v>
      </c>
      <c r="G13" s="59">
        <f>SUM($B$14:F14)</f>
        <v>151114</v>
      </c>
      <c r="H13" s="68">
        <f>SUM($B$14:G14)</f>
        <v>179098</v>
      </c>
      <c r="I13" s="59">
        <f>SUM($B$14:H14)</f>
        <v>207136</v>
      </c>
      <c r="J13" s="68">
        <f>SUM($B$14:I14)</f>
        <v>235228</v>
      </c>
      <c r="K13" s="59">
        <f>SUM($B$14:J14)</f>
        <v>263373</v>
      </c>
      <c r="L13" s="68">
        <f>SUM($B$14:K14)</f>
        <v>291572</v>
      </c>
      <c r="M13" s="64">
        <f>SUM($B$14:L14)</f>
        <v>319825</v>
      </c>
    </row>
    <row r="14" spans="1:13" ht="15.75" thickBot="1" x14ac:dyDescent="0.3">
      <c r="A14" s="65" t="s">
        <v>80</v>
      </c>
      <c r="B14" s="69">
        <f>ROUND((IF((B12-B13)&lt;0,0,(B12-B13))),0)</f>
        <v>32876</v>
      </c>
      <c r="C14" s="69">
        <f t="shared" ref="C14:M14" si="6">ROUND((IF((C12-C13)&lt;0,0,(C12-C13))),0)</f>
        <v>33088</v>
      </c>
      <c r="D14" s="69">
        <f t="shared" si="6"/>
        <v>24517</v>
      </c>
      <c r="E14" s="69">
        <f t="shared" si="6"/>
        <v>32195</v>
      </c>
      <c r="F14" s="69">
        <f t="shared" si="6"/>
        <v>28438</v>
      </c>
      <c r="G14" s="69">
        <f t="shared" si="6"/>
        <v>27984</v>
      </c>
      <c r="H14" s="69">
        <f t="shared" si="6"/>
        <v>28038</v>
      </c>
      <c r="I14" s="69">
        <f t="shared" si="6"/>
        <v>28092</v>
      </c>
      <c r="J14" s="69">
        <f t="shared" si="6"/>
        <v>28145</v>
      </c>
      <c r="K14" s="69">
        <f t="shared" si="6"/>
        <v>28199</v>
      </c>
      <c r="L14" s="69">
        <f t="shared" si="6"/>
        <v>28253</v>
      </c>
      <c r="M14" s="97">
        <f t="shared" si="6"/>
        <v>28307</v>
      </c>
    </row>
    <row r="16" spans="1:13" x14ac:dyDescent="0.25">
      <c r="A16" s="34" t="s">
        <v>87</v>
      </c>
    </row>
    <row r="17" spans="1:13" x14ac:dyDescent="0.25">
      <c r="A17" s="34" t="s">
        <v>60</v>
      </c>
      <c r="B17" s="34">
        <v>91372.64</v>
      </c>
      <c r="C17" s="34">
        <v>92471.84</v>
      </c>
      <c r="D17" s="34">
        <v>83868.639999999999</v>
      </c>
      <c r="E17" s="34">
        <v>90117.28</v>
      </c>
      <c r="F17" s="34">
        <v>90073.76</v>
      </c>
      <c r="G17" s="34">
        <v>91629.728000000003</v>
      </c>
      <c r="H17" s="34">
        <v>90300.815999999992</v>
      </c>
      <c r="I17" s="34">
        <v>90458.176000000021</v>
      </c>
      <c r="J17" s="34">
        <v>90615.535999999993</v>
      </c>
      <c r="K17" s="34">
        <v>90772.895999999993</v>
      </c>
      <c r="L17" s="34">
        <v>90930.255999999994</v>
      </c>
      <c r="M17" s="34">
        <v>91087.615999999995</v>
      </c>
    </row>
    <row r="18" spans="1:13" x14ac:dyDescent="0.25">
      <c r="A18" s="59" t="s">
        <v>65</v>
      </c>
      <c r="B18" s="59">
        <v>63532.544000000002</v>
      </c>
      <c r="C18" s="59">
        <v>64171.496000000006</v>
      </c>
      <c r="D18" s="59">
        <v>58594.295999999995</v>
      </c>
      <c r="E18" s="59">
        <v>62670.792000000016</v>
      </c>
      <c r="F18" s="59">
        <v>62657.384000000005</v>
      </c>
      <c r="G18" s="59">
        <v>63683.643200000006</v>
      </c>
      <c r="H18" s="59">
        <v>62834.730399999993</v>
      </c>
      <c r="I18" s="59">
        <v>62951.894400000005</v>
      </c>
      <c r="J18" s="59">
        <v>63069.058400000009</v>
      </c>
      <c r="K18" s="59">
        <v>63186.222400000006</v>
      </c>
      <c r="L18" s="59">
        <v>63303.38640000001</v>
      </c>
      <c r="M18" s="59">
        <v>63420.5504</v>
      </c>
    </row>
    <row r="19" spans="1:13" x14ac:dyDescent="0.25">
      <c r="A19" s="34" t="s">
        <v>36</v>
      </c>
      <c r="B19" s="34">
        <f>IF(B17-B18&lt;0,0,B17-B18)</f>
        <v>27840.095999999998</v>
      </c>
      <c r="C19" s="34">
        <f t="shared" ref="C19:M19" si="7">IF(C17-C18&lt;0,0,C17-C18)</f>
        <v>28300.34399999999</v>
      </c>
      <c r="D19" s="34">
        <f t="shared" si="7"/>
        <v>25274.344000000005</v>
      </c>
      <c r="E19" s="34">
        <f t="shared" si="7"/>
        <v>27446.487999999983</v>
      </c>
      <c r="F19" s="34">
        <f t="shared" si="7"/>
        <v>27416.375999999989</v>
      </c>
      <c r="G19" s="34">
        <f t="shared" si="7"/>
        <v>27946.084799999997</v>
      </c>
      <c r="H19" s="34">
        <f t="shared" si="7"/>
        <v>27466.085599999999</v>
      </c>
      <c r="I19" s="34">
        <f t="shared" si="7"/>
        <v>27506.281600000017</v>
      </c>
      <c r="J19" s="34">
        <f t="shared" si="7"/>
        <v>27546.477599999984</v>
      </c>
      <c r="K19" s="34">
        <f t="shared" si="7"/>
        <v>27586.673599999987</v>
      </c>
      <c r="L19" s="34">
        <f t="shared" si="7"/>
        <v>27626.869599999984</v>
      </c>
      <c r="M19" s="34">
        <f t="shared" si="7"/>
        <v>27667.065599999994</v>
      </c>
    </row>
    <row r="20" spans="1:13" x14ac:dyDescent="0.25">
      <c r="A20" s="34" t="s">
        <v>88</v>
      </c>
      <c r="B20" s="34">
        <f>IF(B18-B17&lt;0,0,B18-B17)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Datos</vt:lpstr>
      <vt:lpstr>Calculo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Conchas</dc:creator>
  <cp:lastModifiedBy>HUMBERTO GÓMEZ OLIVA</cp:lastModifiedBy>
  <dcterms:created xsi:type="dcterms:W3CDTF">2017-10-14T02:37:49Z</dcterms:created>
  <dcterms:modified xsi:type="dcterms:W3CDTF">2018-10-09T15:30:06Z</dcterms:modified>
</cp:coreProperties>
</file>