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é Conchas\Documents\Talleres_Impartidos\PersonasFisicas\ProyectoVideos_PF\PagoProv_DedInversiones\"/>
    </mc:Choice>
  </mc:AlternateContent>
  <bookViews>
    <workbookView xWindow="0" yWindow="0" windowWidth="13584" windowHeight="7896" activeTab="5"/>
  </bookViews>
  <sheets>
    <sheet name="INPC" sheetId="2" r:id="rId1"/>
    <sheet name="PP" sheetId="1" r:id="rId2"/>
    <sheet name="Datos" sheetId="5" r:id="rId3"/>
    <sheet name="Tabla96" sheetId="3" r:id="rId4"/>
    <sheet name="Cédula" sheetId="4" r:id="rId5"/>
    <sheet name="Hoja1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4" l="1"/>
  <c r="D44" i="4"/>
  <c r="D42" i="4"/>
  <c r="D40" i="4"/>
  <c r="D34" i="4"/>
  <c r="D33" i="4"/>
  <c r="D15" i="4"/>
  <c r="D10" i="4"/>
  <c r="D2" i="4"/>
  <c r="D7" i="4" s="1"/>
  <c r="N6" i="5"/>
  <c r="N7" i="5"/>
  <c r="N8" i="5"/>
  <c r="N9" i="5"/>
  <c r="N10" i="5"/>
  <c r="N11" i="5"/>
  <c r="N12" i="5"/>
  <c r="N13" i="5"/>
  <c r="N14" i="5"/>
  <c r="N15" i="5"/>
  <c r="N16" i="5"/>
  <c r="N5" i="5"/>
  <c r="C47" i="4"/>
  <c r="C44" i="4"/>
  <c r="C42" i="4"/>
  <c r="C40" i="4"/>
  <c r="C33" i="4"/>
  <c r="C34" i="4"/>
  <c r="C15" i="4"/>
  <c r="C10" i="4"/>
  <c r="C2" i="4"/>
  <c r="B47" i="4"/>
  <c r="B44" i="4"/>
  <c r="B42" i="4"/>
  <c r="B40" i="4"/>
  <c r="B33" i="4"/>
  <c r="F27" i="5"/>
  <c r="H27" i="5"/>
  <c r="G27" i="5"/>
  <c r="B34" i="4"/>
  <c r="B15" i="4"/>
  <c r="B10" i="4"/>
  <c r="B2" i="4"/>
  <c r="B7" i="4" s="1"/>
  <c r="L5" i="5"/>
  <c r="F5" i="5"/>
  <c r="F6" i="5"/>
  <c r="F7" i="5"/>
  <c r="F8" i="5"/>
  <c r="F9" i="5"/>
  <c r="F10" i="5"/>
  <c r="F11" i="5"/>
  <c r="F12" i="5"/>
  <c r="F13" i="5"/>
  <c r="F14" i="5"/>
  <c r="F15" i="5"/>
  <c r="F16" i="5"/>
  <c r="K8" i="5"/>
  <c r="K9" i="5"/>
  <c r="K10" i="5"/>
  <c r="K11" i="5"/>
  <c r="L11" i="5" s="1"/>
  <c r="K12" i="5"/>
  <c r="K13" i="5"/>
  <c r="K14" i="5"/>
  <c r="K15" i="5"/>
  <c r="L15" i="5" s="1"/>
  <c r="E10" i="5"/>
  <c r="G10" i="5"/>
  <c r="H10" i="5"/>
  <c r="L10" i="5" s="1"/>
  <c r="I10" i="5"/>
  <c r="E11" i="5"/>
  <c r="G11" i="5"/>
  <c r="H11" i="5"/>
  <c r="I11" i="5"/>
  <c r="E12" i="5"/>
  <c r="G12" i="5"/>
  <c r="H12" i="5"/>
  <c r="L12" i="5" s="1"/>
  <c r="I12" i="5"/>
  <c r="E13" i="5"/>
  <c r="G13" i="5"/>
  <c r="H13" i="5"/>
  <c r="I13" i="5"/>
  <c r="L13" i="5"/>
  <c r="E14" i="5"/>
  <c r="G14" i="5"/>
  <c r="H14" i="5"/>
  <c r="L14" i="5" s="1"/>
  <c r="I14" i="5"/>
  <c r="E15" i="5"/>
  <c r="G15" i="5"/>
  <c r="H15" i="5"/>
  <c r="I15" i="5"/>
  <c r="E16" i="5"/>
  <c r="G16" i="5"/>
  <c r="H16" i="5"/>
  <c r="L16" i="5" s="1"/>
  <c r="I16" i="5"/>
  <c r="I32" i="5"/>
  <c r="I33" i="5"/>
  <c r="I34" i="5"/>
  <c r="I35" i="5"/>
  <c r="I36" i="5"/>
  <c r="I37" i="5"/>
  <c r="I38" i="5"/>
  <c r="I31" i="5"/>
  <c r="E38" i="5"/>
  <c r="E36" i="5"/>
  <c r="E34" i="5"/>
  <c r="E32" i="5"/>
  <c r="E35" i="4"/>
  <c r="F35" i="4"/>
  <c r="G35" i="4"/>
  <c r="H35" i="4"/>
  <c r="I35" i="4"/>
  <c r="J35" i="4"/>
  <c r="K35" i="4"/>
  <c r="L35" i="4"/>
  <c r="M35" i="4"/>
  <c r="C7" i="4"/>
  <c r="E7" i="4"/>
  <c r="F7" i="4"/>
  <c r="G7" i="4"/>
  <c r="H7" i="4"/>
  <c r="I7" i="4"/>
  <c r="J7" i="4"/>
  <c r="K7" i="4"/>
  <c r="L7" i="4"/>
  <c r="M7" i="4"/>
  <c r="G38" i="5"/>
  <c r="G37" i="5"/>
  <c r="G36" i="5"/>
  <c r="G35" i="5"/>
  <c r="G34" i="5"/>
  <c r="G33" i="5"/>
  <c r="G32" i="5"/>
  <c r="G31" i="5"/>
  <c r="I30" i="5"/>
  <c r="G30" i="5"/>
  <c r="E30" i="5"/>
  <c r="I29" i="5"/>
  <c r="G29" i="5"/>
  <c r="I28" i="5"/>
  <c r="G28" i="5"/>
  <c r="E28" i="5"/>
  <c r="E31" i="5" s="1"/>
  <c r="E33" i="5" s="1"/>
  <c r="E35" i="5" s="1"/>
  <c r="I27" i="5"/>
  <c r="E27" i="5"/>
  <c r="H21" i="5"/>
  <c r="F21" i="5"/>
  <c r="G21" i="5" s="1"/>
  <c r="F20" i="5"/>
  <c r="G20" i="5" s="1"/>
  <c r="H19" i="5"/>
  <c r="I19" i="5" s="1"/>
  <c r="J19" i="5" s="1"/>
  <c r="F19" i="5"/>
  <c r="G19" i="5" s="1"/>
  <c r="I9" i="5"/>
  <c r="H9" i="5"/>
  <c r="G9" i="5"/>
  <c r="E9" i="5"/>
  <c r="I8" i="5"/>
  <c r="H8" i="5"/>
  <c r="G8" i="5"/>
  <c r="E8" i="5"/>
  <c r="K7" i="5"/>
  <c r="I7" i="5"/>
  <c r="H7" i="5"/>
  <c r="G7" i="5"/>
  <c r="E7" i="5"/>
  <c r="K6" i="5"/>
  <c r="I6" i="5"/>
  <c r="H6" i="5"/>
  <c r="G6" i="5"/>
  <c r="E6" i="5"/>
  <c r="K5" i="5"/>
  <c r="I5" i="5"/>
  <c r="H5" i="5"/>
  <c r="G5" i="5"/>
  <c r="E5" i="5"/>
  <c r="B35" i="4" l="1"/>
  <c r="D35" i="4"/>
  <c r="D36" i="4" s="1"/>
  <c r="D39" i="4" s="1"/>
  <c r="D41" i="4" s="1"/>
  <c r="D43" i="4" s="1"/>
  <c r="D45" i="4" s="1"/>
  <c r="C35" i="4"/>
  <c r="C36" i="4" s="1"/>
  <c r="C39" i="4" s="1"/>
  <c r="C41" i="4" s="1"/>
  <c r="C43" i="4" s="1"/>
  <c r="C45" i="4" s="1"/>
  <c r="F32" i="5"/>
  <c r="E37" i="5"/>
  <c r="F34" i="5"/>
  <c r="J34" i="5"/>
  <c r="J32" i="5"/>
  <c r="L7" i="5"/>
  <c r="B36" i="4"/>
  <c r="B39" i="4" s="1"/>
  <c r="B41" i="4" s="1"/>
  <c r="B43" i="4" s="1"/>
  <c r="B45" i="4" s="1"/>
  <c r="B48" i="4" s="1"/>
  <c r="M5" i="5" s="1"/>
  <c r="L8" i="5"/>
  <c r="L6" i="5"/>
  <c r="L9" i="5"/>
  <c r="F28" i="5"/>
  <c r="J28" i="5" s="1"/>
  <c r="F30" i="5"/>
  <c r="J27" i="5"/>
  <c r="I21" i="5"/>
  <c r="J21" i="5" s="1"/>
  <c r="E9" i="3"/>
  <c r="E10" i="3"/>
  <c r="E11" i="3"/>
  <c r="E12" i="3"/>
  <c r="E13" i="3"/>
  <c r="E14" i="3"/>
  <c r="E15" i="3"/>
  <c r="E16" i="3"/>
  <c r="E17" i="3"/>
  <c r="E18" i="3"/>
  <c r="E20" i="3"/>
  <c r="E21" i="3"/>
  <c r="E22" i="3"/>
  <c r="E23" i="3"/>
  <c r="E24" i="3"/>
  <c r="E25" i="3"/>
  <c r="E26" i="3"/>
  <c r="E27" i="3"/>
  <c r="E28" i="3"/>
  <c r="E29" i="3"/>
  <c r="E30" i="3"/>
  <c r="E32" i="3"/>
  <c r="E33" i="3"/>
  <c r="E34" i="3"/>
  <c r="E35" i="3"/>
  <c r="E36" i="3"/>
  <c r="E37" i="3"/>
  <c r="E38" i="3"/>
  <c r="E39" i="3"/>
  <c r="E40" i="3"/>
  <c r="E41" i="3"/>
  <c r="E42" i="3"/>
  <c r="E44" i="3"/>
  <c r="E45" i="3"/>
  <c r="E46" i="3"/>
  <c r="E47" i="3"/>
  <c r="E48" i="3"/>
  <c r="E49" i="3"/>
  <c r="E50" i="3"/>
  <c r="E51" i="3"/>
  <c r="E52" i="3"/>
  <c r="E53" i="3"/>
  <c r="E54" i="3"/>
  <c r="E56" i="3"/>
  <c r="E57" i="3"/>
  <c r="E58" i="3"/>
  <c r="E59" i="3"/>
  <c r="E60" i="3"/>
  <c r="E61" i="3"/>
  <c r="E62" i="3"/>
  <c r="E63" i="3"/>
  <c r="E64" i="3"/>
  <c r="E65" i="3"/>
  <c r="E66" i="3"/>
  <c r="E68" i="3"/>
  <c r="E69" i="3"/>
  <c r="E70" i="3"/>
  <c r="E71" i="3"/>
  <c r="E72" i="3"/>
  <c r="E73" i="3"/>
  <c r="E74" i="3"/>
  <c r="E75" i="3"/>
  <c r="E76" i="3"/>
  <c r="E77" i="3"/>
  <c r="E78" i="3"/>
  <c r="E80" i="3"/>
  <c r="E81" i="3"/>
  <c r="E82" i="3"/>
  <c r="E83" i="3"/>
  <c r="E84" i="3"/>
  <c r="E85" i="3"/>
  <c r="E86" i="3"/>
  <c r="E87" i="3"/>
  <c r="E88" i="3"/>
  <c r="E89" i="3"/>
  <c r="E90" i="3"/>
  <c r="E92" i="3"/>
  <c r="E93" i="3"/>
  <c r="E94" i="3"/>
  <c r="E95" i="3"/>
  <c r="E96" i="3"/>
  <c r="E97" i="3"/>
  <c r="E98" i="3"/>
  <c r="E99" i="3"/>
  <c r="E100" i="3"/>
  <c r="E101" i="3"/>
  <c r="E102" i="3"/>
  <c r="E104" i="3"/>
  <c r="E105" i="3"/>
  <c r="E106" i="3"/>
  <c r="E107" i="3"/>
  <c r="E108" i="3"/>
  <c r="E109" i="3"/>
  <c r="E110" i="3"/>
  <c r="E111" i="3"/>
  <c r="E112" i="3"/>
  <c r="E113" i="3"/>
  <c r="E114" i="3"/>
  <c r="E116" i="3"/>
  <c r="E117" i="3"/>
  <c r="E118" i="3"/>
  <c r="E119" i="3"/>
  <c r="E120" i="3"/>
  <c r="E121" i="3"/>
  <c r="E122" i="3"/>
  <c r="E123" i="3"/>
  <c r="E124" i="3"/>
  <c r="E125" i="3"/>
  <c r="E126" i="3"/>
  <c r="E128" i="3"/>
  <c r="E129" i="3"/>
  <c r="E130" i="3"/>
  <c r="E131" i="3"/>
  <c r="E132" i="3"/>
  <c r="E133" i="3"/>
  <c r="E134" i="3"/>
  <c r="E135" i="3"/>
  <c r="E136" i="3"/>
  <c r="E137" i="3"/>
  <c r="E138" i="3"/>
  <c r="E140" i="3"/>
  <c r="E141" i="3"/>
  <c r="E142" i="3"/>
  <c r="E143" i="3"/>
  <c r="E144" i="3"/>
  <c r="E145" i="3"/>
  <c r="E146" i="3"/>
  <c r="E147" i="3"/>
  <c r="E148" i="3"/>
  <c r="E149" i="3"/>
  <c r="E150" i="3"/>
  <c r="E8" i="3"/>
  <c r="R5" i="1"/>
  <c r="R4" i="1"/>
  <c r="H36" i="1"/>
  <c r="H33" i="1"/>
  <c r="H34" i="1"/>
  <c r="H35" i="1"/>
  <c r="H32" i="1"/>
  <c r="J33" i="1"/>
  <c r="J34" i="1"/>
  <c r="J35" i="1"/>
  <c r="J36" i="1"/>
  <c r="J32" i="1"/>
  <c r="I32" i="1"/>
  <c r="F36" i="1"/>
  <c r="F34" i="1"/>
  <c r="F33" i="1"/>
  <c r="I34" i="1"/>
  <c r="I33" i="1"/>
  <c r="I35" i="1"/>
  <c r="I36" i="1"/>
  <c r="G35" i="1"/>
  <c r="G36" i="1"/>
  <c r="G37" i="1"/>
  <c r="G38" i="1"/>
  <c r="G39" i="1"/>
  <c r="G40" i="1"/>
  <c r="G41" i="1"/>
  <c r="G42" i="1"/>
  <c r="G43" i="1"/>
  <c r="G33" i="1"/>
  <c r="G34" i="1"/>
  <c r="G32" i="1"/>
  <c r="E35" i="1"/>
  <c r="E33" i="1"/>
  <c r="E36" i="1" s="1"/>
  <c r="E32" i="1"/>
  <c r="F32" i="1" s="1"/>
  <c r="T3" i="1"/>
  <c r="S3" i="1"/>
  <c r="R3" i="1"/>
  <c r="T2" i="1"/>
  <c r="S2" i="1"/>
  <c r="R2" i="1"/>
  <c r="C46" i="4" l="1"/>
  <c r="C48" i="4" s="1"/>
  <c r="M6" i="5" s="1"/>
  <c r="D46" i="4" s="1"/>
  <c r="D48" i="4" s="1"/>
  <c r="F35" i="5"/>
  <c r="H34" i="5"/>
  <c r="E39" i="5"/>
  <c r="F38" i="5" s="1"/>
  <c r="F36" i="5"/>
  <c r="H32" i="5"/>
  <c r="F33" i="5"/>
  <c r="J30" i="5"/>
  <c r="F31" i="5"/>
  <c r="H30" i="5"/>
  <c r="H28" i="5"/>
  <c r="F29" i="5"/>
  <c r="F35" i="1"/>
  <c r="W2" i="1"/>
  <c r="F37" i="5" l="1"/>
  <c r="H36" i="5"/>
  <c r="J36" i="5"/>
  <c r="H33" i="5"/>
  <c r="J33" i="5"/>
  <c r="J31" i="5"/>
  <c r="H31" i="5"/>
  <c r="H38" i="5"/>
  <c r="J38" i="5"/>
  <c r="H35" i="5"/>
  <c r="J35" i="5"/>
  <c r="H29" i="5"/>
  <c r="J29" i="5"/>
  <c r="E8" i="1"/>
  <c r="J37" i="5" l="1"/>
  <c r="H37" i="5"/>
  <c r="X2" i="1"/>
  <c r="W13" i="1"/>
  <c r="U13" i="1"/>
  <c r="V2" i="1"/>
  <c r="U2" i="1"/>
  <c r="F8" i="1"/>
  <c r="G16" i="1"/>
  <c r="G17" i="1"/>
  <c r="G18" i="1"/>
  <c r="G19" i="1"/>
  <c r="G15" i="1"/>
  <c r="G6" i="1"/>
  <c r="G7" i="1"/>
  <c r="G8" i="1"/>
  <c r="G9" i="1"/>
  <c r="G5" i="1"/>
  <c r="V12" i="1" s="1"/>
  <c r="U12" i="1" l="1"/>
  <c r="U4" i="1"/>
  <c r="W4" i="1" s="1"/>
  <c r="W12" i="1"/>
  <c r="X12" i="1"/>
  <c r="H26" i="1"/>
  <c r="I26" i="1" s="1"/>
  <c r="J26" i="1" s="1"/>
  <c r="H24" i="1"/>
  <c r="I24" i="1" s="1"/>
  <c r="J24" i="1" s="1"/>
  <c r="F25" i="1"/>
  <c r="G25" i="1" s="1"/>
  <c r="F26" i="1"/>
  <c r="G26" i="1" s="1"/>
  <c r="F24" i="1"/>
  <c r="G24" i="1" s="1"/>
  <c r="I19" i="1"/>
  <c r="H19" i="1"/>
  <c r="E19" i="1"/>
  <c r="K18" i="1"/>
  <c r="I18" i="1"/>
  <c r="H18" i="1"/>
  <c r="E18" i="1"/>
  <c r="K17" i="1"/>
  <c r="I17" i="1"/>
  <c r="H17" i="1"/>
  <c r="E17" i="1"/>
  <c r="K16" i="1"/>
  <c r="I16" i="1"/>
  <c r="H16" i="1"/>
  <c r="E16" i="1"/>
  <c r="K15" i="1"/>
  <c r="I15" i="1"/>
  <c r="H15" i="1"/>
  <c r="E15" i="1"/>
  <c r="H6" i="1"/>
  <c r="H7" i="1"/>
  <c r="H8" i="1"/>
  <c r="H9" i="1"/>
  <c r="H5" i="1"/>
  <c r="I6" i="1"/>
  <c r="I7" i="1"/>
  <c r="I8" i="1"/>
  <c r="I9" i="1"/>
  <c r="I5" i="1"/>
  <c r="K6" i="1"/>
  <c r="K7" i="1"/>
  <c r="K8" i="1"/>
  <c r="K5" i="1"/>
  <c r="E6" i="1"/>
  <c r="E7" i="1"/>
  <c r="E9" i="1"/>
  <c r="E5" i="1"/>
  <c r="L19" i="1" l="1"/>
  <c r="V4" i="1"/>
  <c r="X4" i="1" s="1"/>
  <c r="L6" i="1"/>
  <c r="F9" i="1"/>
  <c r="N9" i="1" s="1"/>
  <c r="U3" i="1"/>
  <c r="U5" i="1" s="1"/>
  <c r="U7" i="1" s="1"/>
  <c r="U9" i="1" s="1"/>
  <c r="U11" i="1" s="1"/>
  <c r="U14" i="1" s="1"/>
  <c r="M8" i="1" s="1"/>
  <c r="V13" i="1" s="1"/>
  <c r="V14" i="1" s="1"/>
  <c r="M9" i="1" s="1"/>
  <c r="L5" i="1"/>
  <c r="V3" i="1"/>
  <c r="V5" i="1" s="1"/>
  <c r="V7" i="1" s="1"/>
  <c r="V9" i="1" s="1"/>
  <c r="V11" i="1" s="1"/>
  <c r="F7" i="1"/>
  <c r="L9" i="1"/>
  <c r="F16" i="1"/>
  <c r="F18" i="1"/>
  <c r="F19" i="1"/>
  <c r="N19" i="1" s="1"/>
  <c r="F6" i="1"/>
  <c r="N6" i="1" s="1"/>
  <c r="L8" i="1"/>
  <c r="N8" i="1" s="1"/>
  <c r="W3" i="1"/>
  <c r="W5" i="1" s="1"/>
  <c r="W7" i="1" s="1"/>
  <c r="W9" i="1" s="1"/>
  <c r="W11" i="1" s="1"/>
  <c r="W14" i="1" s="1"/>
  <c r="M18" i="1" s="1"/>
  <c r="X13" i="1" s="1"/>
  <c r="L15" i="1"/>
  <c r="X3" i="1"/>
  <c r="X5" i="1" s="1"/>
  <c r="X7" i="1" s="1"/>
  <c r="X9" i="1" s="1"/>
  <c r="X11" i="1" s="1"/>
  <c r="L16" i="1"/>
  <c r="L17" i="1"/>
  <c r="L18" i="1"/>
  <c r="N18" i="1" s="1"/>
  <c r="F15" i="1"/>
  <c r="N15" i="1" s="1"/>
  <c r="F17" i="1"/>
  <c r="F5" i="1"/>
  <c r="N5" i="1" s="1"/>
  <c r="L7" i="1"/>
  <c r="N7" i="1" l="1"/>
  <c r="X14" i="1"/>
  <c r="M19" i="1" s="1"/>
  <c r="N17" i="1"/>
  <c r="N16" i="1"/>
</calcChain>
</file>

<file path=xl/sharedStrings.xml><?xml version="1.0" encoding="utf-8"?>
<sst xmlns="http://schemas.openxmlformats.org/spreadsheetml/2006/main" count="373" uniqueCount="215">
  <si>
    <t>Enero</t>
  </si>
  <si>
    <t>Febrero</t>
  </si>
  <si>
    <t>Marzo</t>
  </si>
  <si>
    <t>Abril</t>
  </si>
  <si>
    <t>Mayo</t>
  </si>
  <si>
    <t>IVA</t>
  </si>
  <si>
    <t>Ret de IVA</t>
  </si>
  <si>
    <t>Ret ISR</t>
  </si>
  <si>
    <t>Ventas</t>
  </si>
  <si>
    <t>Compras</t>
  </si>
  <si>
    <t>Papelería</t>
  </si>
  <si>
    <t>Sueldos</t>
  </si>
  <si>
    <t>Publicidad</t>
  </si>
  <si>
    <t>Egresos efectivamente pagados</t>
  </si>
  <si>
    <t>Ingresos efectivamente cobrados</t>
  </si>
  <si>
    <t>Pag Prov</t>
  </si>
  <si>
    <t>Fecha de Adq</t>
  </si>
  <si>
    <t>Descripción</t>
  </si>
  <si>
    <t>Computadora HP</t>
  </si>
  <si>
    <t>Computadora DELL</t>
  </si>
  <si>
    <t>Automovil SENTRA</t>
  </si>
  <si>
    <t>Subtotal</t>
  </si>
  <si>
    <t>Total</t>
  </si>
  <si>
    <t>Seguro de Garantía por un año</t>
  </si>
  <si>
    <t>IA</t>
  </si>
  <si>
    <t>DA</t>
  </si>
  <si>
    <t>DEP DEDU</t>
  </si>
  <si>
    <t>% dep</t>
  </si>
  <si>
    <t>Base</t>
  </si>
  <si>
    <t>LI</t>
  </si>
  <si>
    <t>EXC</t>
  </si>
  <si>
    <t>%Marg</t>
  </si>
  <si>
    <t>Imp Marg</t>
  </si>
  <si>
    <t>CF</t>
  </si>
  <si>
    <t>ISR Per</t>
  </si>
  <si>
    <t>Pagos Prov Ant</t>
  </si>
  <si>
    <t>Pagos Prov</t>
  </si>
  <si>
    <t>IVA A</t>
  </si>
  <si>
    <t>FAVOR</t>
  </si>
  <si>
    <t>FACTORES DE ACTUALIZACIÓN</t>
  </si>
  <si>
    <t>FA=</t>
  </si>
  <si>
    <t>INPC ENE 2017</t>
  </si>
  <si>
    <t>INPC ENE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</si>
  <si>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</si>
  <si>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</si>
  <si>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</si>
  <si>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</si>
  <si>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</si>
  <si>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</si>
  <si>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</si>
  <si>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</si>
  <si>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</si>
  <si>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</si>
  <si>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</si>
  <si>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</si>
  <si>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Columna1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</si>
  <si>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</si>
  <si>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</si>
  <si>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</si>
  <si>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</si>
  <si>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</si>
  <si>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</si>
  <si>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</si>
  <si>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</si>
  <si>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</si>
  <si>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</si>
  <si>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</si>
  <si>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</si>
  <si>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</si>
  <si>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</si>
  <si>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</si>
  <si>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</si>
  <si>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</si>
  <si>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</si>
  <si>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</si>
  <si>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</si>
  <si>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</si>
  <si>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</si>
  <si>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</si>
  <si>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</si>
  <si>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</si>
  <si>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</si>
  <si>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</si>
  <si>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</si>
  <si>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</si>
  <si>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</si>
  <si>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</si>
  <si>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</si>
  <si>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</si>
  <si>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</si>
  <si>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</si>
  <si>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</si>
  <si>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</si>
  <si>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</si>
  <si>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</si>
  <si>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</si>
  <si>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</si>
  <si>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</si>
  <si>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</si>
  <si>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</si>
  <si>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</si>
  <si>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</si>
  <si>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</si>
  <si>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</si>
  <si>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</si>
  <si>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</si>
  <si>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​​​​​118.984</t>
  </si>
  <si>
    <t>​​​119.505</t>
  </si>
  <si>
    <t>​​​​119.681</t>
  </si>
  <si>
    <t>​​​​​​119.302</t>
  </si>
  <si>
    <t>​112.527</t>
  </si>
  <si>
    <t>​115.764</t>
  </si>
  <si>
    <t>​​​​​​​118.770</t>
  </si>
  <si>
    <t>Junio</t>
  </si>
  <si>
    <t>​​​​​​​​118.901</t>
  </si>
  <si>
    <t>Julio</t>
  </si>
  <si>
    <t>​113.032</t>
  </si>
  <si>
    <t>​116.128</t>
  </si>
  <si>
    <t>​​​​​​​​​119.211</t>
  </si>
  <si>
    <t>Agosto</t>
  </si>
  <si>
    <t>​113.438</t>
  </si>
  <si>
    <t>​116.373</t>
  </si>
  <si>
    <t>​​​​​​​​​​119.547</t>
  </si>
  <si>
    <t>E</t>
  </si>
  <si>
    <t>Septiembre</t>
  </si>
  <si>
    <t>​113.939</t>
  </si>
  <si>
    <t>​116.809</t>
  </si>
  <si>
    <t>Octubre</t>
  </si>
  <si>
    <t>​109.84</t>
  </si>
  <si>
    <t>Noviembre</t>
  </si>
  <si>
    <t>Diciembre</t>
  </si>
  <si>
    <t>Nota</t>
  </si>
  <si>
    <t xml:space="preserve">Para el ejercicio 2017 se tomaron índices estimados de febrero a diciembre </t>
  </si>
  <si>
    <t>INPC ULTIMO MES DE LA PRIMERA MITAD DEL EJERCICIO</t>
  </si>
  <si>
    <t>INPC DEL MES DE ADQUISICIÓN</t>
  </si>
  <si>
    <t>INPC FEB 2017</t>
  </si>
  <si>
    <t>FA</t>
  </si>
  <si>
    <t>DEP FISCAL C1</t>
  </si>
  <si>
    <t>DEP FISCAL C2</t>
  </si>
  <si>
    <t>C1</t>
  </si>
  <si>
    <t>C2</t>
  </si>
  <si>
    <t>DEP CONT C2</t>
  </si>
  <si>
    <t>FORMULA</t>
  </si>
  <si>
    <t>SUSTIT</t>
  </si>
  <si>
    <t>MESES</t>
  </si>
  <si>
    <t>En adelante</t>
  </si>
  <si>
    <t>LS</t>
  </si>
  <si>
    <t>% Aplicable</t>
  </si>
  <si>
    <t>Devoluciones, rebajas, descuentos y bonificaciones sobre ventas nacionales</t>
  </si>
  <si>
    <t>Devoluciones, rebajas, descuentos y bonificaciones sobre ventas extranjeras</t>
  </si>
  <si>
    <t>Adquicisiones netas de mercancías (Compras) nacionales</t>
  </si>
  <si>
    <t>Adquicisiones netas de mercancías (Compras) extranjeras</t>
  </si>
  <si>
    <t>Pérdida por créditos incobrables</t>
  </si>
  <si>
    <t>Aportaciones SAR, INFONAVIT y jubilaciones por vejez</t>
  </si>
  <si>
    <t>Cuotas al IMSS</t>
  </si>
  <si>
    <t>Sueldos, salarios y conceptos asimilados y prestaciones a otros trabajadores</t>
  </si>
  <si>
    <t>Sueldos, salarios y conceptos asimilados y prestaciones con capacidades diferentes y/o adultos mayores</t>
  </si>
  <si>
    <t>Maniobras, empaques y fletes en el campo para la enajenación de productos alimenticios</t>
  </si>
  <si>
    <t>Viáticos y gastos de viaje</t>
  </si>
  <si>
    <t>Intereses devengados a cargo e intereses moratorios</t>
  </si>
  <si>
    <t>Honorarios</t>
  </si>
  <si>
    <t>Regalías y Asistencia técnica</t>
  </si>
  <si>
    <t>Uso o goce temporal de bienes</t>
  </si>
  <si>
    <t>Seguros y fianzas</t>
  </si>
  <si>
    <t>Fletes y acarreo</t>
  </si>
  <si>
    <t>Combustibles y lubricantes</t>
  </si>
  <si>
    <t>Contribuciones pagadas excepto ISR, IETU, IMPAC, IVA e IEPS</t>
  </si>
  <si>
    <t>Impuesto local sobre los ingresos por actividades empresariales</t>
  </si>
  <si>
    <t>Deducción de los pagos efectuados por el uso o goce temporal de automoviles</t>
  </si>
  <si>
    <t>Monto total de los pagos que sean ingresos excentos para el trabajador</t>
  </si>
  <si>
    <t>Monto deducible al 47% (Pagos que son ingresos excentos al trabajador)</t>
  </si>
  <si>
    <t>Monto deducible al 53% (Pagos que son ingresos excentos al trabajador)</t>
  </si>
  <si>
    <t>Consumo en restaurantes</t>
  </si>
  <si>
    <t>Otros gastos</t>
  </si>
  <si>
    <t>Ingresos propios de la actividad nacionales</t>
  </si>
  <si>
    <t>Ingresos propios de la actividad extranjeros</t>
  </si>
  <si>
    <t>Ganancia en la enajenación de acciones o por reembolsos de capital</t>
  </si>
  <si>
    <t>Ganancia en la enajenación de terrenos y activo fijo</t>
  </si>
  <si>
    <t>Anticipo de clientes</t>
  </si>
  <si>
    <t>Deducción de Inversiones</t>
  </si>
  <si>
    <t>Pérdidas fiscales de ejercicios anteriores pendientes de aplicar</t>
  </si>
  <si>
    <t>UTILIDAD FISCAL</t>
  </si>
  <si>
    <t>PTU Pagada en el ejercicio</t>
  </si>
  <si>
    <t>Anexo 8 de la Resolución Miscelánea Fiscal para 2017</t>
  </si>
  <si>
    <t>Contenido</t>
  </si>
  <si>
    <t>A. Tarifa aplicable a pagos provisionales</t>
  </si>
  <si>
    <t>B. Tarifas aplicables a retenciones</t>
  </si>
  <si>
    <t>6. Tarifas para pagos provisionales</t>
  </si>
  <si>
    <t>Asimilados a Salarios</t>
  </si>
  <si>
    <t>TOTAL DE INGRESOS ACUMULABLES</t>
  </si>
  <si>
    <t>TOTAL DE DEDUCCIONES AUTORIZADAS</t>
  </si>
  <si>
    <t>BASE PARA APLICAR LA TARIFA DEL ART. 96</t>
  </si>
  <si>
    <t>CEDULA DE DETERMINACIÓN PARA PAGOS PROVISIONALES</t>
  </si>
  <si>
    <t>(-) LÍMITE INFERIOR</t>
  </si>
  <si>
    <t>(=) EXCEDENTE ENTRE BASE Y LÍMITE INFERIOR</t>
  </si>
  <si>
    <t>(X) PORCIENTO MARGINAL APLICABLE AL EXCEDENTE</t>
  </si>
  <si>
    <t>(=) IMPUESTO MARGINAL</t>
  </si>
  <si>
    <t>(+) CUOTA FIJA</t>
  </si>
  <si>
    <t>(=) ISR DEL PERIODO</t>
  </si>
  <si>
    <t>Pagos Provisionales de meses anteriores</t>
  </si>
  <si>
    <t>Retenciones de ISR</t>
  </si>
  <si>
    <t>Pago Provisional de ISR</t>
  </si>
  <si>
    <t>INPC JUN 2017</t>
  </si>
  <si>
    <t>INPC MARZ 2017</t>
  </si>
  <si>
    <t>INPC ABRIL 2017</t>
  </si>
  <si>
    <t>INPC MAYO 2017</t>
  </si>
  <si>
    <t>Art. 106</t>
  </si>
  <si>
    <t xml:space="preserve">Deducciones autorizadas </t>
  </si>
  <si>
    <t>Totalidad de los ingresos</t>
  </si>
  <si>
    <t>PTU pagada en el ejercicio</t>
  </si>
  <si>
    <t>Pérdidas Fiscales no disminuidas</t>
  </si>
  <si>
    <t>Resultado para aplicar la tarifa del art. 96</t>
  </si>
  <si>
    <t>( - )</t>
  </si>
  <si>
    <t>( = )</t>
  </si>
  <si>
    <t>DINAMICA PARA CALCULO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</si>
</sst>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2">
    <xf numFmtId="0" fontId="0" fillId="0" borderId="0" xfId="0"/>
    <xf numFmtId="43" fontId="0" fillId="0" borderId="0" xfId="1" applyFont="1"/>
    <xf numFmtId="43" fontId="2" fillId="0" borderId="0" xfId="1" applyFont="1"/>
    <xf numFmtId="43" fontId="2" fillId="0" borderId="1" xfId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43" fontId="2" fillId="0" borderId="1" xfId="1" applyFont="1" applyBorder="1" applyAlignment="1">
      <alignment vertical="center"/>
    </xf>
    <xf numFmtId="14" fontId="0" fillId="0" borderId="1" xfId="1" applyNumberFormat="1" applyFont="1" applyBorder="1"/>
    <xf numFmtId="43" fontId="0" fillId="0" borderId="1" xfId="1" applyFont="1" applyBorder="1"/>
    <xf numFmtId="43" fontId="2" fillId="0" borderId="1" xfId="1" applyFont="1" applyBorder="1"/>
    <xf numFmtId="43" fontId="0" fillId="0" borderId="0" xfId="1" applyFont="1" applyAlignment="1">
      <alignment horizontal="center" wrapText="1"/>
    </xf>
    <xf numFmtId="43" fontId="3" fillId="3" borderId="0" xfId="3" applyNumberFormat="1"/>
    <xf numFmtId="43" fontId="1" fillId="2" borderId="0" xfId="2" applyNumberFormat="1"/>
    <xf numFmtId="43" fontId="0" fillId="5" borderId="0" xfId="1" applyFont="1" applyFill="1"/>
    <xf numFmtId="43" fontId="0" fillId="5" borderId="2" xfId="1" applyFont="1" applyFill="1" applyBorder="1"/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6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justify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3" fontId="0" fillId="6" borderId="0" xfId="1" applyFont="1" applyFill="1"/>
    <xf numFmtId="43" fontId="0" fillId="6" borderId="2" xfId="1" applyFont="1" applyFill="1" applyBorder="1"/>
    <xf numFmtId="43" fontId="0" fillId="5" borderId="0" xfId="1" applyFont="1" applyFill="1" applyAlignment="1">
      <alignment vertical="center"/>
    </xf>
    <xf numFmtId="43" fontId="0" fillId="6" borderId="0" xfId="1" applyFont="1" applyFill="1" applyAlignment="1">
      <alignment vertical="center"/>
    </xf>
    <xf numFmtId="164" fontId="0" fillId="0" borderId="0" xfId="1" applyNumberFormat="1" applyFont="1"/>
    <xf numFmtId="43" fontId="0" fillId="0" borderId="0" xfId="1" applyFont="1" applyFill="1" applyBorder="1"/>
    <xf numFmtId="0" fontId="4" fillId="0" borderId="0" xfId="0" applyFont="1" applyFill="1" applyBorder="1" applyAlignment="1">
      <alignment horizontal="center" vertical="center" wrapText="1"/>
    </xf>
    <xf numFmtId="164" fontId="0" fillId="5" borderId="0" xfId="1" applyNumberFormat="1" applyFont="1" applyFill="1"/>
    <xf numFmtId="164" fontId="0" fillId="6" borderId="0" xfId="1" applyNumberFormat="1" applyFont="1" applyFill="1"/>
    <xf numFmtId="43" fontId="6" fillId="5" borderId="0" xfId="1" applyFont="1" applyFill="1" applyBorder="1" applyAlignment="1">
      <alignment horizontal="center" vertical="center" wrapText="1"/>
    </xf>
    <xf numFmtId="43" fontId="6" fillId="6" borderId="0" xfId="1" applyFont="1" applyFill="1" applyBorder="1" applyAlignment="1">
      <alignment horizontal="center" vertical="center" wrapText="1"/>
    </xf>
    <xf numFmtId="164" fontId="2" fillId="0" borderId="0" xfId="1" applyNumberFormat="1" applyFont="1"/>
    <xf numFmtId="0" fontId="7" fillId="0" borderId="18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0" fontId="7" fillId="0" borderId="19" xfId="0" applyFont="1" applyBorder="1" applyAlignment="1">
      <alignment horizontal="right" vertical="center" wrapText="1"/>
    </xf>
    <xf numFmtId="4" fontId="7" fillId="0" borderId="18" xfId="0" applyNumberFormat="1" applyFont="1" applyBorder="1" applyAlignment="1">
      <alignment horizontal="right" vertical="center" wrapText="1"/>
    </xf>
    <xf numFmtId="10" fontId="0" fillId="0" borderId="0" xfId="4" applyNumberFormat="1" applyFont="1"/>
    <xf numFmtId="10" fontId="0" fillId="0" borderId="19" xfId="4" applyNumberFormat="1" applyFont="1" applyBorder="1"/>
    <xf numFmtId="0" fontId="0" fillId="4" borderId="0" xfId="0" applyFill="1"/>
    <xf numFmtId="0" fontId="0" fillId="5" borderId="0" xfId="0" applyFill="1"/>
    <xf numFmtId="0" fontId="2" fillId="8" borderId="20" xfId="0" applyFont="1" applyFill="1" applyBorder="1"/>
    <xf numFmtId="0" fontId="5" fillId="12" borderId="0" xfId="0" applyFont="1" applyFill="1" applyAlignment="1">
      <alignment horizontal="center" vertical="center"/>
    </xf>
    <xf numFmtId="0" fontId="2" fillId="9" borderId="21" xfId="0" applyFont="1" applyFill="1" applyBorder="1"/>
    <xf numFmtId="43" fontId="0" fillId="0" borderId="2" xfId="1" applyFont="1" applyBorder="1"/>
    <xf numFmtId="43" fontId="2" fillId="4" borderId="0" xfId="1" applyFont="1" applyFill="1"/>
    <xf numFmtId="43" fontId="2" fillId="5" borderId="0" xfId="1" applyFont="1" applyFill="1"/>
    <xf numFmtId="43" fontId="2" fillId="11" borderId="0" xfId="1" applyFont="1" applyFill="1"/>
    <xf numFmtId="44" fontId="2" fillId="9" borderId="21" xfId="5" applyFont="1" applyFill="1" applyBorder="1"/>
    <xf numFmtId="44" fontId="2" fillId="8" borderId="20" xfId="5" applyFont="1" applyFill="1" applyBorder="1"/>
    <xf numFmtId="43" fontId="0" fillId="4" borderId="0" xfId="1" applyFont="1" applyFill="1"/>
    <xf numFmtId="44" fontId="0" fillId="0" borderId="0" xfId="5" applyFont="1"/>
    <xf numFmtId="44" fontId="2" fillId="0" borderId="0" xfId="5" applyFont="1"/>
    <xf numFmtId="0" fontId="5" fillId="10" borderId="0" xfId="0" applyFont="1" applyFill="1" applyBorder="1"/>
    <xf numFmtId="44" fontId="5" fillId="10" borderId="0" xfId="5" applyFont="1" applyFill="1" applyBorder="1"/>
    <xf numFmtId="44" fontId="5" fillId="0" borderId="0" xfId="5" applyFont="1"/>
    <xf numFmtId="44" fontId="2" fillId="7" borderId="0" xfId="5" applyFont="1" applyFill="1"/>
    <xf numFmtId="43" fontId="0" fillId="6" borderId="14" xfId="1" applyFont="1" applyFill="1" applyBorder="1"/>
    <xf numFmtId="44" fontId="5" fillId="12" borderId="20" xfId="5" applyFont="1" applyFill="1" applyBorder="1"/>
    <xf numFmtId="164" fontId="0" fillId="4" borderId="0" xfId="1" applyNumberFormat="1" applyFont="1" applyFill="1"/>
    <xf numFmtId="43" fontId="0" fillId="4" borderId="2" xfId="1" applyFont="1" applyFill="1" applyBorder="1"/>
    <xf numFmtId="43" fontId="0" fillId="4" borderId="0" xfId="1" applyFont="1" applyFill="1" applyAlignment="1">
      <alignment vertical="center"/>
    </xf>
    <xf numFmtId="43" fontId="6" fillId="4" borderId="0" xfId="1" applyFont="1" applyFill="1" applyBorder="1" applyAlignment="1">
      <alignment horizontal="center" vertical="center" wrapText="1"/>
    </xf>
    <xf numFmtId="164" fontId="2" fillId="5" borderId="0" xfId="1" applyNumberFormat="1" applyFont="1" applyFill="1"/>
    <xf numFmtId="164" fontId="2" fillId="4" borderId="0" xfId="1" applyNumberFormat="1" applyFont="1" applyFill="1"/>
    <xf numFmtId="0" fontId="0" fillId="5" borderId="2" xfId="1" applyNumberFormat="1" applyFont="1" applyFill="1" applyBorder="1"/>
    <xf numFmtId="0" fontId="0" fillId="5" borderId="0" xfId="1" applyNumberFormat="1" applyFont="1" applyFill="1"/>
    <xf numFmtId="0" fontId="0" fillId="4" borderId="2" xfId="1" applyNumberFormat="1" applyFont="1" applyFill="1" applyBorder="1"/>
    <xf numFmtId="0" fontId="0" fillId="4" borderId="0" xfId="1" applyNumberFormat="1" applyFont="1" applyFill="1"/>
    <xf numFmtId="0" fontId="0" fillId="5" borderId="0" xfId="1" applyNumberFormat="1" applyFont="1" applyFill="1" applyAlignment="1">
      <alignment vertical="center"/>
    </xf>
    <xf numFmtId="0" fontId="0" fillId="4" borderId="0" xfId="1" applyNumberFormat="1" applyFont="1" applyFill="1" applyAlignment="1">
      <alignment vertical="center"/>
    </xf>
    <xf numFmtId="43" fontId="1" fillId="5" borderId="0" xfId="1" applyFont="1" applyFill="1" applyBorder="1" applyAlignment="1">
      <alignment horizontal="center" vertical="center" wrapText="1"/>
    </xf>
    <xf numFmtId="43" fontId="1" fillId="4" borderId="0" xfId="1" applyFont="1" applyFill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" fontId="7" fillId="5" borderId="0" xfId="0" applyNumberFormat="1" applyFont="1" applyFill="1" applyAlignment="1">
      <alignment horizontal="right" vertical="center" wrapText="1"/>
    </xf>
    <xf numFmtId="0" fontId="7" fillId="5" borderId="0" xfId="0" applyFont="1" applyFill="1" applyAlignment="1">
      <alignment horizontal="right" vertical="center" wrapText="1"/>
    </xf>
    <xf numFmtId="10" fontId="0" fillId="5" borderId="0" xfId="4" applyNumberFormat="1" applyFont="1" applyFill="1"/>
    <xf numFmtId="10" fontId="0" fillId="0" borderId="2" xfId="1" applyNumberFormat="1" applyFont="1" applyBorder="1"/>
    <xf numFmtId="4" fontId="7" fillId="5" borderId="19" xfId="0" applyNumberFormat="1" applyFont="1" applyFill="1" applyBorder="1" applyAlignment="1">
      <alignment horizontal="right" vertical="center" wrapText="1"/>
    </xf>
    <xf numFmtId="0" fontId="7" fillId="5" borderId="19" xfId="0" applyFont="1" applyFill="1" applyBorder="1" applyAlignment="1">
      <alignment horizontal="right" vertical="center" wrapText="1"/>
    </xf>
    <xf numFmtId="10" fontId="0" fillId="5" borderId="19" xfId="4" applyNumberFormat="1" applyFont="1" applyFill="1" applyBorder="1"/>
    <xf numFmtId="43" fontId="0" fillId="6" borderId="0" xfId="1" applyFont="1" applyFill="1" applyAlignment="1">
      <alignment horizontal="center" vertical="center"/>
    </xf>
    <xf numFmtId="43" fontId="2" fillId="0" borderId="1" xfId="1" applyFont="1" applyBorder="1" applyAlignment="1">
      <alignment horizontal="center"/>
    </xf>
    <xf numFmtId="43" fontId="0" fillId="5" borderId="0" xfId="1" applyFont="1" applyFill="1" applyAlignment="1">
      <alignment horizontal="center" vertical="center"/>
    </xf>
    <xf numFmtId="43" fontId="5" fillId="4" borderId="11" xfId="1" applyFont="1" applyFill="1" applyBorder="1" applyAlignment="1">
      <alignment horizontal="center" vertical="center"/>
    </xf>
    <xf numFmtId="43" fontId="5" fillId="4" borderId="13" xfId="1" applyFont="1" applyFill="1" applyBorder="1" applyAlignment="1">
      <alignment horizontal="center" vertical="center"/>
    </xf>
    <xf numFmtId="43" fontId="5" fillId="4" borderId="15" xfId="1" applyFont="1" applyFill="1" applyBorder="1" applyAlignment="1">
      <alignment horizontal="center"/>
    </xf>
    <xf numFmtId="43" fontId="5" fillId="4" borderId="16" xfId="1" applyFont="1" applyFill="1" applyBorder="1" applyAlignment="1">
      <alignment horizontal="center"/>
    </xf>
    <xf numFmtId="43" fontId="5" fillId="4" borderId="14" xfId="1" applyFont="1" applyFill="1" applyBorder="1" applyAlignment="1">
      <alignment horizontal="center"/>
    </xf>
    <xf numFmtId="43" fontId="5" fillId="4" borderId="17" xfId="1" applyFont="1" applyFill="1" applyBorder="1" applyAlignment="1">
      <alignment horizontal="center"/>
    </xf>
    <xf numFmtId="43" fontId="2" fillId="0" borderId="12" xfId="1" applyFont="1" applyBorder="1" applyAlignment="1">
      <alignment horizontal="center"/>
    </xf>
    <xf numFmtId="43" fontId="0" fillId="4" borderId="0" xfId="1" applyFont="1" applyFill="1" applyAlignment="1">
      <alignment horizontal="center" vertical="center"/>
    </xf>
    <xf numFmtId="0" fontId="0" fillId="0" borderId="0" xfId="0" applyAlignment="1">
      <alignment horizontal="center" wrapText="1"/>
    </xf>
    <xf numFmtId="44" fontId="2" fillId="0" borderId="22" xfId="5" applyFont="1" applyBorder="1"/>
    <xf numFmtId="0" fontId="2" fillId="0" borderId="0" xfId="0" applyFont="1" applyAlignment="1">
      <alignment horizontal="center"/>
    </xf>
  </cellXfs>
  <cellStyles count="6">
    <cellStyle name="20% - Énfasis4" xfId="2" builtinId="42"/>
    <cellStyle name="Énfasis5" xfId="3" builtinId="45"/>
    <cellStyle name="Millares" xfId="1" builtinId="3"/>
    <cellStyle name="Moneda" xfId="5" builtinId="4"/>
    <cellStyle name="Normal" xfId="0" builtinId="0"/>
    <cellStyle name="Porcentaje" xfId="4" builtinId="5"/>
  </cellStyles>
  <dxfs count="5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3" displayName="Tabla3" ref="A1:AY13" totalsRowShown="0" headerRowDxfId="55" dataDxfId="53" headerRowBorderDxfId="54" tableBorderDxfId="52" totalsRowBorderDxfId="51">
  <autoFilter ref="A1:AY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</autoFilter>
  <tableColumns count="51">
    <tableColumn id="1" name="Columna1" dataDxfId="50"/>
    <tableColumn id="2" name="1969" dataDxfId="49"/>
    <tableColumn id="3" name="1970" dataDxfId="48"/>
    <tableColumn id="4" name="1971" dataDxfId="47"/>
    <tableColumn id="5" name="1972" dataDxfId="46"/>
    <tableColumn id="6" name="1973" dataDxfId="45"/>
    <tableColumn id="7" name="1974" dataDxfId="44"/>
    <tableColumn id="8" name="1975" dataDxfId="43"/>
    <tableColumn id="9" name="1976" dataDxfId="42"/>
    <tableColumn id="10" name="1977" dataDxfId="41"/>
    <tableColumn id="11" name="1978" dataDxfId="40"/>
    <tableColumn id="12" name="1979" dataDxfId="39"/>
    <tableColumn id="13" name="1980" dataDxfId="38"/>
    <tableColumn id="14" name="1981" dataDxfId="37"/>
    <tableColumn id="15" name="1982" dataDxfId="36"/>
    <tableColumn id="16" name="1983" dataDxfId="35"/>
    <tableColumn id="17" name="1984" dataDxfId="34"/>
    <tableColumn id="18" name="1985" dataDxfId="33"/>
    <tableColumn id="19" name="1986" dataDxfId="32"/>
    <tableColumn id="20" name="1987" dataDxfId="31"/>
    <tableColumn id="21" name="1988" dataDxfId="30"/>
    <tableColumn id="22" name="1989" dataDxfId="29"/>
    <tableColumn id="23" name="1990" dataDxfId="28"/>
    <tableColumn id="24" name="1991" dataDxfId="27"/>
    <tableColumn id="25" name="1992" dataDxfId="26"/>
    <tableColumn id="26" name="1993" dataDxfId="25"/>
    <tableColumn id="27" name="1994" dataDxfId="24"/>
    <tableColumn id="28" name="1995" dataDxfId="23"/>
    <tableColumn id="29" name="1996" dataDxfId="22"/>
    <tableColumn id="30" name="1997" dataDxfId="21"/>
    <tableColumn id="31" name="1998" dataDxfId="20"/>
    <tableColumn id="32" name="1999" dataDxfId="19"/>
    <tableColumn id="33" name="2000" dataDxfId="18"/>
    <tableColumn id="34" name="2001" dataDxfId="17"/>
    <tableColumn id="35" name="2002" dataDxfId="16"/>
    <tableColumn id="36" name="2003" dataDxfId="15"/>
    <tableColumn id="37" name="2004" dataDxfId="14"/>
    <tableColumn id="38" name="2005" dataDxfId="13"/>
    <tableColumn id="39" name="2006" dataDxfId="12"/>
    <tableColumn id="40" name="2007" dataDxfId="11"/>
    <tableColumn id="41" name="2008" dataDxfId="10"/>
    <tableColumn id="42" name="2009" dataDxfId="9"/>
    <tableColumn id="43" name="2010" dataDxfId="8"/>
    <tableColumn id="44" name="2011" dataDxfId="7"/>
    <tableColumn id="45" name="2012" dataDxfId="6"/>
    <tableColumn id="46" name="2013" dataDxfId="5"/>
    <tableColumn id="47" name="2014" dataDxfId="4"/>
    <tableColumn id="48" name="2015" dataDxfId="3"/>
    <tableColumn id="49" name="2016" dataDxfId="2"/>
    <tableColumn id="50" name="2017" dataDxfId="1"/>
    <tableColumn id="51" name="2018" dataDxfId="0"/>
  </tableColumns>
  <tableStyleInfo name="TableStyleMedium13" showFirstColumn="1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4"/>
  <sheetViews>
    <sheetView workbookViewId="0">
      <pane xSplit="1" topLeftCell="AN1" activePane="topRight" state="frozen"/>
      <selection pane="topRight" activeCell="AY10" sqref="AY10"/>
    </sheetView>
  </sheetViews>
  <sheetFormatPr baseColWidth="10" defaultColWidth="11" defaultRowHeight="14.4" x14ac:dyDescent="0.3"/>
  <cols>
    <col min="1" max="49" width="14.5546875" style="17" customWidth="1"/>
    <col min="50" max="16384" width="11" style="17"/>
  </cols>
  <sheetData>
    <row r="1" spans="1:51" x14ac:dyDescent="0.3">
      <c r="A1" s="14" t="s">
        <v>55</v>
      </c>
      <c r="B1" s="15" t="s">
        <v>56</v>
      </c>
      <c r="C1" s="15" t="s">
        <v>57</v>
      </c>
      <c r="D1" s="15" t="s">
        <v>58</v>
      </c>
      <c r="E1" s="15" t="s">
        <v>59</v>
      </c>
      <c r="F1" s="15" t="s">
        <v>60</v>
      </c>
      <c r="G1" s="15" t="s">
        <v>61</v>
      </c>
      <c r="H1" s="15" t="s">
        <v>62</v>
      </c>
      <c r="I1" s="15" t="s">
        <v>63</v>
      </c>
      <c r="J1" s="15" t="s">
        <v>64</v>
      </c>
      <c r="K1" s="15" t="s">
        <v>65</v>
      </c>
      <c r="L1" s="15" t="s">
        <v>66</v>
      </c>
      <c r="M1" s="15" t="s">
        <v>67</v>
      </c>
      <c r="N1" s="15" t="s">
        <v>68</v>
      </c>
      <c r="O1" s="15" t="s">
        <v>69</v>
      </c>
      <c r="P1" s="15" t="s">
        <v>70</v>
      </c>
      <c r="Q1" s="15" t="s">
        <v>71</v>
      </c>
      <c r="R1" s="15" t="s">
        <v>72</v>
      </c>
      <c r="S1" s="15" t="s">
        <v>73</v>
      </c>
      <c r="T1" s="15" t="s">
        <v>74</v>
      </c>
      <c r="U1" s="15" t="s">
        <v>75</v>
      </c>
      <c r="V1" s="15" t="s">
        <v>76</v>
      </c>
      <c r="W1" s="15" t="s">
        <v>77</v>
      </c>
      <c r="X1" s="15" t="s">
        <v>78</v>
      </c>
      <c r="Y1" s="15" t="s">
        <v>79</v>
      </c>
      <c r="Z1" s="15" t="s">
        <v>80</v>
      </c>
      <c r="AA1" s="15" t="s">
        <v>81</v>
      </c>
      <c r="AB1" s="15" t="s">
        <v>82</v>
      </c>
      <c r="AC1" s="15" t="s">
        <v>83</v>
      </c>
      <c r="AD1" s="15" t="s">
        <v>84</v>
      </c>
      <c r="AE1" s="15" t="s">
        <v>85</v>
      </c>
      <c r="AF1" s="15" t="s">
        <v>86</v>
      </c>
      <c r="AG1" s="15" t="s">
        <v>87</v>
      </c>
      <c r="AH1" s="15" t="s">
        <v>88</v>
      </c>
      <c r="AI1" s="15" t="s">
        <v>89</v>
      </c>
      <c r="AJ1" s="15" t="s">
        <v>90</v>
      </c>
      <c r="AK1" s="15" t="s">
        <v>91</v>
      </c>
      <c r="AL1" s="15" t="s">
        <v>92</v>
      </c>
      <c r="AM1" s="15" t="s">
        <v>93</v>
      </c>
      <c r="AN1" s="15" t="s">
        <v>94</v>
      </c>
      <c r="AO1" s="15" t="s">
        <v>95</v>
      </c>
      <c r="AP1" s="15" t="s">
        <v>96</v>
      </c>
      <c r="AQ1" s="15" t="s">
        <v>97</v>
      </c>
      <c r="AR1" s="15" t="s">
        <v>98</v>
      </c>
      <c r="AS1" s="15" t="s">
        <v>99</v>
      </c>
      <c r="AT1" s="15" t="s">
        <v>100</v>
      </c>
      <c r="AU1" s="15" t="s">
        <v>101</v>
      </c>
      <c r="AV1" s="15" t="s">
        <v>102</v>
      </c>
      <c r="AW1" s="16" t="s">
        <v>103</v>
      </c>
      <c r="AX1" s="15" t="s">
        <v>104</v>
      </c>
      <c r="AY1" s="15" t="s">
        <v>105</v>
      </c>
    </row>
    <row r="2" spans="1:51" x14ac:dyDescent="0.3">
      <c r="A2" s="18" t="s">
        <v>0</v>
      </c>
      <c r="B2" s="19">
        <v>1.5434126596E-2</v>
      </c>
      <c r="C2" s="19">
        <v>1.6236489141999998E-2</v>
      </c>
      <c r="D2" s="19">
        <v>1.7036948412E-2</v>
      </c>
      <c r="E2" s="19">
        <v>1.7785826098000002E-2</v>
      </c>
      <c r="F2" s="19">
        <v>1.8962630937E-2</v>
      </c>
      <c r="G2" s="19">
        <v>2.3497920876E-2</v>
      </c>
      <c r="H2" s="19">
        <v>2.7708446828999998E-2</v>
      </c>
      <c r="I2" s="19">
        <v>3.1040182603999999E-2</v>
      </c>
      <c r="J2" s="19">
        <v>3.9969395847000003E-2</v>
      </c>
      <c r="K2" s="19">
        <v>4.7777199286000001E-2</v>
      </c>
      <c r="L2" s="19">
        <v>5.6223076551999998E-2</v>
      </c>
      <c r="M2" s="19">
        <v>6.8342658934000003E-2</v>
      </c>
      <c r="N2" s="19">
        <v>8.7341590063999996E-2</v>
      </c>
      <c r="O2" s="19">
        <v>0.114297331963</v>
      </c>
      <c r="P2" s="19">
        <v>0.240074262308</v>
      </c>
      <c r="Q2" s="19">
        <v>0.41627811989300001</v>
      </c>
      <c r="R2" s="19">
        <v>0.669169260687</v>
      </c>
      <c r="S2" s="19">
        <v>1.1102768510409999</v>
      </c>
      <c r="T2" s="19">
        <v>2.2687626488660002</v>
      </c>
      <c r="U2" s="19">
        <v>6.2805515298629997</v>
      </c>
      <c r="V2" s="19">
        <v>8.4513125512889999</v>
      </c>
      <c r="W2" s="19">
        <v>10.350838773075999</v>
      </c>
      <c r="X2" s="19">
        <v>13.156630205568</v>
      </c>
      <c r="Y2" s="19">
        <v>15.517902070849001</v>
      </c>
      <c r="Z2" s="19">
        <v>17.274369884079</v>
      </c>
      <c r="AA2" s="19">
        <v>18.569623144131999</v>
      </c>
      <c r="AB2" s="19">
        <v>20.468620185776</v>
      </c>
      <c r="AC2" s="19">
        <v>31.054701826733002</v>
      </c>
      <c r="AD2" s="19">
        <v>39.266557170736</v>
      </c>
      <c r="AE2" s="19">
        <v>45.263303462448</v>
      </c>
      <c r="AF2" s="19">
        <v>53.870120615833002</v>
      </c>
      <c r="AG2" s="19">
        <v>59.808326584512997</v>
      </c>
      <c r="AH2" s="19">
        <v>64.659787943149993</v>
      </c>
      <c r="AI2" s="19">
        <v>67.754636301573001</v>
      </c>
      <c r="AJ2" s="19">
        <v>71.248784591725993</v>
      </c>
      <c r="AK2" s="19">
        <v>74.2423093102</v>
      </c>
      <c r="AL2" s="19">
        <v>77.616489556109002</v>
      </c>
      <c r="AM2" s="19">
        <v>80.670698489100999</v>
      </c>
      <c r="AN2" s="19">
        <v>83.882134705164006</v>
      </c>
      <c r="AO2" s="19">
        <v>86.989442325859997</v>
      </c>
      <c r="AP2" s="19">
        <v>92.454469599277004</v>
      </c>
      <c r="AQ2" s="19">
        <v>96.575479439774</v>
      </c>
      <c r="AR2" s="19">
        <v>100.22799999999999</v>
      </c>
      <c r="AS2" s="20">
        <v>104.28400000000001</v>
      </c>
      <c r="AT2" s="20">
        <v>107.678</v>
      </c>
      <c r="AU2" s="20">
        <v>112.505</v>
      </c>
      <c r="AV2" s="20">
        <v>115.95399999999999</v>
      </c>
      <c r="AW2" s="21" t="s">
        <v>106</v>
      </c>
      <c r="AX2" s="15">
        <v>124.598</v>
      </c>
      <c r="AY2" s="15"/>
    </row>
    <row r="3" spans="1:51" x14ac:dyDescent="0.3">
      <c r="A3" s="18" t="s">
        <v>1</v>
      </c>
      <c r="B3" s="19">
        <v>1.5489521629000001E-2</v>
      </c>
      <c r="C3" s="19">
        <v>1.6234578969000001E-2</v>
      </c>
      <c r="D3" s="19">
        <v>1.710763173E-2</v>
      </c>
      <c r="E3" s="19">
        <v>1.7841228027999999E-2</v>
      </c>
      <c r="F3" s="19">
        <v>1.9119285856999998E-2</v>
      </c>
      <c r="G3" s="19">
        <v>2.4029011191999999E-2</v>
      </c>
      <c r="H3" s="19">
        <v>2.7861274506000001E-2</v>
      </c>
      <c r="I3" s="19">
        <v>3.1620944328999999E-2</v>
      </c>
      <c r="J3" s="19">
        <v>4.0851999476000003E-2</v>
      </c>
      <c r="K3" s="19">
        <v>4.8463034348999998E-2</v>
      </c>
      <c r="L3" s="19">
        <v>5.7031176514999997E-2</v>
      </c>
      <c r="M3" s="19">
        <v>6.9922558667000007E-2</v>
      </c>
      <c r="N3" s="19">
        <v>8.9486970134000005E-2</v>
      </c>
      <c r="O3" s="19">
        <v>0.118788687911</v>
      </c>
      <c r="P3" s="19">
        <v>0.25295800376499999</v>
      </c>
      <c r="Q3" s="19">
        <v>0.43824772261799999</v>
      </c>
      <c r="R3" s="19">
        <v>0.69696940274300001</v>
      </c>
      <c r="S3" s="19">
        <v>1.159637770407</v>
      </c>
      <c r="T3" s="19">
        <v>2.432470571604</v>
      </c>
      <c r="U3" s="19">
        <v>6.8043966403010003</v>
      </c>
      <c r="V3" s="19">
        <v>8.5660015171050006</v>
      </c>
      <c r="W3" s="19">
        <v>10.585225779758</v>
      </c>
      <c r="X3" s="19">
        <v>13.386308075828</v>
      </c>
      <c r="Y3" s="19">
        <v>15.701758987125</v>
      </c>
      <c r="Z3" s="19">
        <v>17.415502610111002</v>
      </c>
      <c r="AA3" s="19">
        <v>18.665129781468</v>
      </c>
      <c r="AB3" s="19">
        <v>21.336132926013999</v>
      </c>
      <c r="AC3" s="19">
        <v>31.779507671726002</v>
      </c>
      <c r="AD3" s="19">
        <v>39.926409411569999</v>
      </c>
      <c r="AE3" s="19">
        <v>46.055737478708998</v>
      </c>
      <c r="AF3" s="19">
        <v>54.594080220393998</v>
      </c>
      <c r="AG3" s="19">
        <v>60.338844724266004</v>
      </c>
      <c r="AH3" s="19">
        <v>64.616994979759994</v>
      </c>
      <c r="AI3" s="19">
        <v>67.711079179107998</v>
      </c>
      <c r="AJ3" s="19">
        <v>71.446697882259002</v>
      </c>
      <c r="AK3" s="19">
        <v>74.686407425541006</v>
      </c>
      <c r="AL3" s="19">
        <v>77.875087061160002</v>
      </c>
      <c r="AM3" s="19">
        <v>80.794135698179005</v>
      </c>
      <c r="AN3" s="19">
        <v>84.116596443077995</v>
      </c>
      <c r="AO3" s="19">
        <v>87.248039830912006</v>
      </c>
      <c r="AP3" s="19">
        <v>92.658589229930996</v>
      </c>
      <c r="AQ3" s="19">
        <v>97.134050050685005</v>
      </c>
      <c r="AR3" s="19">
        <v>100.604</v>
      </c>
      <c r="AS3" s="20">
        <v>104.496</v>
      </c>
      <c r="AT3" s="20">
        <v>108.208</v>
      </c>
      <c r="AU3" s="20">
        <v>112.79</v>
      </c>
      <c r="AV3" s="20">
        <v>116.17400000000001</v>
      </c>
      <c r="AW3" s="21" t="s">
        <v>107</v>
      </c>
      <c r="AX3" s="19">
        <v>125.318</v>
      </c>
      <c r="AY3" s="19"/>
    </row>
    <row r="4" spans="1:51" x14ac:dyDescent="0.3">
      <c r="A4" s="18" t="s">
        <v>2</v>
      </c>
      <c r="B4" s="19">
        <v>1.5504809914E-2</v>
      </c>
      <c r="C4" s="19">
        <v>1.6282340204E-2</v>
      </c>
      <c r="D4" s="19">
        <v>1.7172584527E-2</v>
      </c>
      <c r="E4" s="19">
        <v>1.7938660671999999E-2</v>
      </c>
      <c r="F4" s="19">
        <v>1.9287401818999999E-2</v>
      </c>
      <c r="G4" s="19">
        <v>2.4214325612000001E-2</v>
      </c>
      <c r="H4" s="19">
        <v>2.8037031162999999E-2</v>
      </c>
      <c r="I4" s="19">
        <v>3.1930426927000002E-2</v>
      </c>
      <c r="J4" s="19">
        <v>4.1564576968999997E-2</v>
      </c>
      <c r="K4" s="19">
        <v>4.8967375339000002E-2</v>
      </c>
      <c r="L4" s="19">
        <v>5.7804886457999999E-2</v>
      </c>
      <c r="M4" s="19">
        <v>7.1361091764000004E-2</v>
      </c>
      <c r="N4" s="19">
        <v>9.1401184721000006E-2</v>
      </c>
      <c r="O4" s="19">
        <v>0.123127202389</v>
      </c>
      <c r="P4" s="19">
        <v>0.26520176122099998</v>
      </c>
      <c r="Q4" s="19">
        <v>0.45697919496900002</v>
      </c>
      <c r="R4" s="19">
        <v>0.72397673311999999</v>
      </c>
      <c r="S4" s="19">
        <v>1.213537800059</v>
      </c>
      <c r="T4" s="19">
        <v>2.5932250212049999</v>
      </c>
      <c r="U4" s="19">
        <v>7.1528364491460001</v>
      </c>
      <c r="V4" s="19">
        <v>8.6588622537289996</v>
      </c>
      <c r="W4" s="19">
        <v>10.771835580257999</v>
      </c>
      <c r="X4" s="19">
        <v>13.577210546641</v>
      </c>
      <c r="Y4" s="19">
        <v>15.861556329433</v>
      </c>
      <c r="Z4" s="19">
        <v>17.516998351872001</v>
      </c>
      <c r="AA4" s="19">
        <v>18.761104466496</v>
      </c>
      <c r="AB4" s="19">
        <v>22.593921331191002</v>
      </c>
      <c r="AC4" s="19">
        <v>32.479096225855997</v>
      </c>
      <c r="AD4" s="19">
        <v>40.423304503734002</v>
      </c>
      <c r="AE4" s="19">
        <v>46.595234496217998</v>
      </c>
      <c r="AF4" s="19">
        <v>55.101291477316003</v>
      </c>
      <c r="AG4" s="19">
        <v>60.673355802583004</v>
      </c>
      <c r="AH4" s="19">
        <v>65.026393744008999</v>
      </c>
      <c r="AI4" s="19">
        <v>68.057434733438001</v>
      </c>
      <c r="AJ4" s="19">
        <v>71.897691931067996</v>
      </c>
      <c r="AK4" s="19">
        <v>74.939488183818</v>
      </c>
      <c r="AL4" s="19">
        <v>78.226090074683</v>
      </c>
      <c r="AM4" s="19">
        <v>80.895505920158996</v>
      </c>
      <c r="AN4" s="19">
        <v>84.298649086634001</v>
      </c>
      <c r="AO4" s="19">
        <v>87.880396929930001</v>
      </c>
      <c r="AP4" s="19">
        <v>93.19164488701</v>
      </c>
      <c r="AQ4" s="19">
        <v>97.823643397488993</v>
      </c>
      <c r="AR4" s="19">
        <v>100.797</v>
      </c>
      <c r="AS4" s="20">
        <v>104.556</v>
      </c>
      <c r="AT4" s="19">
        <v>109.002</v>
      </c>
      <c r="AU4" s="20">
        <v>113.099</v>
      </c>
      <c r="AV4" s="20">
        <v>116.64700000000001</v>
      </c>
      <c r="AW4" s="21" t="s">
        <v>108</v>
      </c>
      <c r="AX4" s="19">
        <v>126.087</v>
      </c>
      <c r="AY4" s="19"/>
    </row>
    <row r="5" spans="1:51" x14ac:dyDescent="0.3">
      <c r="A5" s="18" t="s">
        <v>3</v>
      </c>
      <c r="B5" s="19">
        <v>1.5546833732E-2</v>
      </c>
      <c r="C5" s="19">
        <v>1.6303352112999998E-2</v>
      </c>
      <c r="D5" s="19">
        <v>1.7260466302999999E-2</v>
      </c>
      <c r="E5" s="19">
        <v>1.8051374703999999E-2</v>
      </c>
      <c r="F5" s="19">
        <v>1.9593064069999999E-2</v>
      </c>
      <c r="G5" s="19">
        <v>2.4542909945999999E-2</v>
      </c>
      <c r="H5" s="19">
        <v>2.8273920269E-2</v>
      </c>
      <c r="I5" s="19">
        <v>3.2153944818999997E-2</v>
      </c>
      <c r="J5" s="19">
        <v>4.2193099929E-2</v>
      </c>
      <c r="K5" s="19">
        <v>4.9511843765999999E-2</v>
      </c>
      <c r="L5" s="19">
        <v>5.8322605559999997E-2</v>
      </c>
      <c r="M5" s="19">
        <v>7.2608579919999999E-2</v>
      </c>
      <c r="N5" s="19">
        <v>9.3462510257999995E-2</v>
      </c>
      <c r="O5" s="19">
        <v>0.12980023170300001</v>
      </c>
      <c r="P5" s="19">
        <v>0.28199226276299999</v>
      </c>
      <c r="Q5" s="19">
        <v>0.47674801569500003</v>
      </c>
      <c r="R5" s="19">
        <v>0.74625390827000004</v>
      </c>
      <c r="S5" s="19">
        <v>1.276894312924</v>
      </c>
      <c r="T5" s="19">
        <v>2.8201194306719999</v>
      </c>
      <c r="U5" s="19">
        <v>7.3729947935700002</v>
      </c>
      <c r="V5" s="19">
        <v>8.7883530028340004</v>
      </c>
      <c r="W5" s="19">
        <v>10.935778488824999</v>
      </c>
      <c r="X5" s="19">
        <v>13.719437933150999</v>
      </c>
      <c r="Y5" s="19">
        <v>16.002952687000001</v>
      </c>
      <c r="Z5" s="19">
        <v>17.618012674726</v>
      </c>
      <c r="AA5" s="19">
        <v>18.852987077021002</v>
      </c>
      <c r="AB5" s="19">
        <v>24.39428249881</v>
      </c>
      <c r="AC5" s="19">
        <v>33.402392654452001</v>
      </c>
      <c r="AD5" s="19">
        <v>40.860021998028003</v>
      </c>
      <c r="AE5" s="19">
        <v>47.031187831436</v>
      </c>
      <c r="AF5" s="19">
        <v>55.606974416086999</v>
      </c>
      <c r="AG5" s="19">
        <v>61.018565121747997</v>
      </c>
      <c r="AH5" s="19">
        <v>65.354409466736996</v>
      </c>
      <c r="AI5" s="19">
        <v>68.429198616676004</v>
      </c>
      <c r="AJ5" s="19">
        <v>72.020439546798997</v>
      </c>
      <c r="AK5" s="19">
        <v>75.052581492694003</v>
      </c>
      <c r="AL5" s="19">
        <v>78.504685786791995</v>
      </c>
      <c r="AM5" s="19">
        <v>81.014115975809005</v>
      </c>
      <c r="AN5" s="19">
        <v>84.248308772317003</v>
      </c>
      <c r="AO5" s="19">
        <v>88.080379000503001</v>
      </c>
      <c r="AP5" s="19">
        <v>93.517822540048002</v>
      </c>
      <c r="AQ5" s="19">
        <v>97.511947204733005</v>
      </c>
      <c r="AR5" s="19">
        <v>100.789</v>
      </c>
      <c r="AS5" s="20">
        <v>104.22799999999999</v>
      </c>
      <c r="AT5" s="20">
        <v>109.074</v>
      </c>
      <c r="AU5" s="19">
        <v>112.88800000000001</v>
      </c>
      <c r="AV5" s="19">
        <v>116.345</v>
      </c>
      <c r="AW5" s="21" t="s">
        <v>109</v>
      </c>
      <c r="AX5" s="19">
        <v>126.242</v>
      </c>
      <c r="AY5" s="19"/>
    </row>
    <row r="6" spans="1:51" x14ac:dyDescent="0.3">
      <c r="A6" s="18" t="s">
        <v>4</v>
      </c>
      <c r="B6" s="19">
        <v>1.5546833732E-2</v>
      </c>
      <c r="C6" s="19">
        <v>1.6337742132999999E-2</v>
      </c>
      <c r="D6" s="19">
        <v>1.7296766496999998E-2</v>
      </c>
      <c r="E6" s="19">
        <v>1.8087668001999999E-2</v>
      </c>
      <c r="F6" s="19">
        <v>1.9801300572999999E-2</v>
      </c>
      <c r="G6" s="19">
        <v>2.4735865060000001E-2</v>
      </c>
      <c r="H6" s="19">
        <v>2.8652182908E-2</v>
      </c>
      <c r="I6" s="19">
        <v>3.2379372884000002E-2</v>
      </c>
      <c r="J6" s="19">
        <v>4.2563714976999997E-2</v>
      </c>
      <c r="K6" s="19">
        <v>4.9997083019999999E-2</v>
      </c>
      <c r="L6" s="19">
        <v>5.9086771530999997E-2</v>
      </c>
      <c r="M6" s="19">
        <v>7.3793032349000004E-2</v>
      </c>
      <c r="N6" s="19">
        <v>9.4876204202000006E-2</v>
      </c>
      <c r="O6" s="19">
        <v>0.13709605345699999</v>
      </c>
      <c r="P6" s="19">
        <v>0.29422264900400003</v>
      </c>
      <c r="Q6" s="19">
        <v>0.49255657768599997</v>
      </c>
      <c r="R6" s="19">
        <v>0.76393275085699996</v>
      </c>
      <c r="S6" s="19">
        <v>1.347852309793</v>
      </c>
      <c r="T6" s="19">
        <v>3.032724052326</v>
      </c>
      <c r="U6" s="19">
        <v>7.5156481970579998</v>
      </c>
      <c r="V6" s="19">
        <v>8.9093176335909998</v>
      </c>
      <c r="W6" s="19">
        <v>11.126616006840999</v>
      </c>
      <c r="X6" s="19">
        <v>13.853553757248999</v>
      </c>
      <c r="Y6" s="19">
        <v>16.108466006495998</v>
      </c>
      <c r="Z6" s="19">
        <v>17.718721335329001</v>
      </c>
      <c r="AA6" s="19">
        <v>18.944076868970001</v>
      </c>
      <c r="AB6" s="19">
        <v>25.413863095033001</v>
      </c>
      <c r="AC6" s="19">
        <v>34.011237206319002</v>
      </c>
      <c r="AD6" s="19">
        <v>41.232932116431002</v>
      </c>
      <c r="AE6" s="19">
        <v>47.405817312930999</v>
      </c>
      <c r="AF6" s="19">
        <v>55.941485494403999</v>
      </c>
      <c r="AG6" s="19">
        <v>61.246666912621997</v>
      </c>
      <c r="AH6" s="19">
        <v>65.504375883541002</v>
      </c>
      <c r="AI6" s="19">
        <v>68.567893678497995</v>
      </c>
      <c r="AJ6" s="19">
        <v>71.788046588927003</v>
      </c>
      <c r="AK6" s="19">
        <v>74.864322509016006</v>
      </c>
      <c r="AL6" s="19">
        <v>78.307462089606005</v>
      </c>
      <c r="AM6" s="19">
        <v>80.653458655430995</v>
      </c>
      <c r="AN6" s="19">
        <v>83.837311137621995</v>
      </c>
      <c r="AO6" s="19">
        <v>87.985215118645002</v>
      </c>
      <c r="AP6" s="19">
        <v>93.245433168060998</v>
      </c>
      <c r="AQ6" s="19">
        <v>96.897519532732005</v>
      </c>
      <c r="AR6" s="20">
        <v>100.04600000000001</v>
      </c>
      <c r="AS6" s="20">
        <v>103.899</v>
      </c>
      <c r="AT6" s="20">
        <v>108.711</v>
      </c>
      <c r="AU6" s="19" t="s">
        <v>110</v>
      </c>
      <c r="AV6" s="19" t="s">
        <v>111</v>
      </c>
      <c r="AW6" s="21" t="s">
        <v>112</v>
      </c>
      <c r="AX6" s="19">
        <v>126.09099999999999</v>
      </c>
      <c r="AY6" s="19"/>
    </row>
    <row r="7" spans="1:51" x14ac:dyDescent="0.3">
      <c r="A7" s="18" t="s">
        <v>113</v>
      </c>
      <c r="B7" s="19">
        <v>1.5602235662000001E-2</v>
      </c>
      <c r="C7" s="19">
        <v>1.6437084950999999E-2</v>
      </c>
      <c r="D7" s="19">
        <v>1.7375090509000001E-2</v>
      </c>
      <c r="E7" s="19">
        <v>1.8221393943999999E-2</v>
      </c>
      <c r="F7" s="19">
        <v>1.9963679118E-2</v>
      </c>
      <c r="G7" s="19">
        <v>2.4980394861E-2</v>
      </c>
      <c r="H7" s="19">
        <v>2.9139332335999999E-2</v>
      </c>
      <c r="I7" s="19">
        <v>3.2509278478000003E-2</v>
      </c>
      <c r="J7" s="19">
        <v>4.3085254424999997E-2</v>
      </c>
      <c r="K7" s="19">
        <v>5.0684828256999999E-2</v>
      </c>
      <c r="L7" s="19">
        <v>5.9742036920999997E-2</v>
      </c>
      <c r="M7" s="19">
        <v>7.5256397702000002E-2</v>
      </c>
      <c r="N7" s="19">
        <v>9.6202023267000003E-2</v>
      </c>
      <c r="O7" s="19">
        <v>0.14370030273100001</v>
      </c>
      <c r="P7" s="19">
        <v>0.30536410528699998</v>
      </c>
      <c r="Q7" s="19">
        <v>0.51038252432499998</v>
      </c>
      <c r="R7" s="19">
        <v>0.78306540792900003</v>
      </c>
      <c r="S7" s="19">
        <v>1.434370511609</v>
      </c>
      <c r="T7" s="19">
        <v>3.2521201478489998</v>
      </c>
      <c r="U7" s="19">
        <v>7.6689711887899996</v>
      </c>
      <c r="V7" s="19">
        <v>9.0175188776180004</v>
      </c>
      <c r="W7" s="19">
        <v>11.371676415217999</v>
      </c>
      <c r="X7" s="19">
        <v>13.998919931316999</v>
      </c>
      <c r="Y7" s="19">
        <v>16.217494452221999</v>
      </c>
      <c r="Z7" s="19">
        <v>17.818102266693</v>
      </c>
      <c r="AA7" s="19">
        <v>19.03886901864</v>
      </c>
      <c r="AB7" s="19">
        <v>26.220434064532</v>
      </c>
      <c r="AC7" s="19">
        <v>34.565062228903997</v>
      </c>
      <c r="AD7" s="19">
        <v>41.598773765110998</v>
      </c>
      <c r="AE7" s="19">
        <v>47.966137697999002</v>
      </c>
      <c r="AF7" s="19">
        <v>56.309046499278999</v>
      </c>
      <c r="AG7" s="19">
        <v>61.609451911207998</v>
      </c>
      <c r="AH7" s="19">
        <v>65.659309337783995</v>
      </c>
      <c r="AI7" s="19">
        <v>68.902213711873998</v>
      </c>
      <c r="AJ7" s="19">
        <v>71.847351616751993</v>
      </c>
      <c r="AK7" s="19">
        <v>74.984311751359996</v>
      </c>
      <c r="AL7" s="19">
        <v>78.232296414803997</v>
      </c>
      <c r="AM7" s="19">
        <v>80.723107583458003</v>
      </c>
      <c r="AN7" s="19">
        <v>83.937991766254996</v>
      </c>
      <c r="AO7" s="19">
        <v>88.349320405756998</v>
      </c>
      <c r="AP7" s="19">
        <v>93.417141911415001</v>
      </c>
      <c r="AQ7" s="19">
        <v>96.867177425471994</v>
      </c>
      <c r="AR7" s="20">
        <v>100.041</v>
      </c>
      <c r="AS7" s="20">
        <v>104.378</v>
      </c>
      <c r="AT7" s="20">
        <v>108.645</v>
      </c>
      <c r="AU7" s="19">
        <v>112.72199999999999</v>
      </c>
      <c r="AV7" s="19">
        <v>115.958</v>
      </c>
      <c r="AW7" s="21" t="s">
        <v>114</v>
      </c>
      <c r="AX7" s="19">
        <v>126.408</v>
      </c>
      <c r="AY7" s="19"/>
    </row>
    <row r="8" spans="1:51" x14ac:dyDescent="0.3">
      <c r="A8" s="18" t="s">
        <v>115</v>
      </c>
      <c r="B8" s="19">
        <v>1.5661457938000001E-2</v>
      </c>
      <c r="C8" s="19">
        <v>1.6517319137000001E-2</v>
      </c>
      <c r="D8" s="19">
        <v>1.7361719293999999E-2</v>
      </c>
      <c r="E8" s="19">
        <v>1.8290173983999999E-2</v>
      </c>
      <c r="F8" s="19">
        <v>2.0475667699E-2</v>
      </c>
      <c r="G8" s="19">
        <v>2.5341459042000001E-2</v>
      </c>
      <c r="H8" s="19">
        <v>2.9372401095E-2</v>
      </c>
      <c r="I8" s="19">
        <v>3.2784377952000003E-2</v>
      </c>
      <c r="J8" s="19">
        <v>4.3572410749E-2</v>
      </c>
      <c r="K8" s="19">
        <v>5.1544509803000002E-2</v>
      </c>
      <c r="L8" s="19">
        <v>6.0466075454999997E-2</v>
      </c>
      <c r="M8" s="19">
        <v>7.7357836883999997E-2</v>
      </c>
      <c r="N8" s="19">
        <v>9.7896547205999995E-2</v>
      </c>
      <c r="O8" s="19">
        <v>0.151105018171</v>
      </c>
      <c r="P8" s="19">
        <v>0.32046199306299999</v>
      </c>
      <c r="Q8" s="19">
        <v>0.52711381048600003</v>
      </c>
      <c r="R8" s="19">
        <v>0.81033636984299995</v>
      </c>
      <c r="S8" s="19">
        <v>1.505939839876</v>
      </c>
      <c r="T8" s="19">
        <v>3.515516574376</v>
      </c>
      <c r="U8" s="19">
        <v>7.7969775537370003</v>
      </c>
      <c r="V8" s="19">
        <v>9.1077203354179996</v>
      </c>
      <c r="W8" s="19">
        <v>11.579059911870001</v>
      </c>
      <c r="X8" s="19">
        <v>14.1226298125</v>
      </c>
      <c r="Y8" s="19">
        <v>16.319893816415998</v>
      </c>
      <c r="Z8" s="19">
        <v>17.903728314013001</v>
      </c>
      <c r="AA8" s="19">
        <v>19.123304889905999</v>
      </c>
      <c r="AB8" s="19">
        <v>26.754964051499002</v>
      </c>
      <c r="AC8" s="19">
        <v>35.056417169494999</v>
      </c>
      <c r="AD8" s="19">
        <v>41.961176680710999</v>
      </c>
      <c r="AE8" s="19">
        <v>48.428645590395</v>
      </c>
      <c r="AF8" s="19">
        <v>56.681192465503003</v>
      </c>
      <c r="AG8" s="19">
        <v>61.849780261079999</v>
      </c>
      <c r="AH8" s="19">
        <v>65.488710598360001</v>
      </c>
      <c r="AI8" s="19">
        <v>69.100011723086993</v>
      </c>
      <c r="AJ8" s="19">
        <v>71.951480212118994</v>
      </c>
      <c r="AK8" s="19">
        <v>75.180845855198996</v>
      </c>
      <c r="AL8" s="19">
        <v>78.538475860784999</v>
      </c>
      <c r="AM8" s="19">
        <v>80.944467047781998</v>
      </c>
      <c r="AN8" s="19">
        <v>84.294511526552995</v>
      </c>
      <c r="AO8" s="19">
        <v>88.841690055374002</v>
      </c>
      <c r="AP8" s="19">
        <v>93.671601856384996</v>
      </c>
      <c r="AQ8" s="19">
        <v>97.077503396246996</v>
      </c>
      <c r="AR8" s="20">
        <v>100.521</v>
      </c>
      <c r="AS8" s="20">
        <v>104.964</v>
      </c>
      <c r="AT8" s="20">
        <v>108.60899999999999</v>
      </c>
      <c r="AU8" s="20" t="s">
        <v>116</v>
      </c>
      <c r="AV8" s="20" t="s">
        <v>117</v>
      </c>
      <c r="AW8" s="21" t="s">
        <v>118</v>
      </c>
      <c r="AX8" s="19">
        <v>126.886</v>
      </c>
      <c r="AY8" s="19"/>
    </row>
    <row r="9" spans="1:51" x14ac:dyDescent="0.3">
      <c r="A9" s="18" t="s">
        <v>119</v>
      </c>
      <c r="B9" s="19">
        <v>1.5678656395999999E-2</v>
      </c>
      <c r="C9" s="19">
        <v>1.6593732975999999E-2</v>
      </c>
      <c r="D9" s="19">
        <v>1.7520277492000001E-2</v>
      </c>
      <c r="E9" s="19">
        <v>1.8410528711000001E-2</v>
      </c>
      <c r="F9" s="19">
        <v>2.0804258929000001E-2</v>
      </c>
      <c r="G9" s="19">
        <v>2.5608917820999999E-2</v>
      </c>
      <c r="H9" s="19">
        <v>2.9626488659999999E-2</v>
      </c>
      <c r="I9" s="19">
        <v>3.3097680897999998E-2</v>
      </c>
      <c r="J9" s="19">
        <v>4.4466475419E-2</v>
      </c>
      <c r="K9" s="19">
        <v>5.2058408556000003E-2</v>
      </c>
      <c r="L9" s="19">
        <v>6.1381158930999997E-2</v>
      </c>
      <c r="M9" s="19">
        <v>7.8960658700000005E-2</v>
      </c>
      <c r="N9" s="19">
        <v>9.9913931853999993E-2</v>
      </c>
      <c r="O9" s="19">
        <v>0.16806172550000001</v>
      </c>
      <c r="P9" s="19">
        <v>0.33290060891099998</v>
      </c>
      <c r="Q9" s="19">
        <v>0.54209707405499996</v>
      </c>
      <c r="R9" s="19">
        <v>0.84576283505600003</v>
      </c>
      <c r="S9" s="19">
        <v>1.626004668547</v>
      </c>
      <c r="T9" s="19">
        <v>3.8028388558269999</v>
      </c>
      <c r="U9" s="19">
        <v>7.8687073503749998</v>
      </c>
      <c r="V9" s="19">
        <v>9.1944888044519999</v>
      </c>
      <c r="W9" s="19">
        <v>11.776352671829001</v>
      </c>
      <c r="X9" s="19">
        <v>14.220917993559</v>
      </c>
      <c r="Y9" s="19">
        <v>16.420153531063001</v>
      </c>
      <c r="Z9" s="19">
        <v>17.999553984815002</v>
      </c>
      <c r="AA9" s="19">
        <v>19.212436519484001</v>
      </c>
      <c r="AB9" s="19">
        <v>27.198750022412</v>
      </c>
      <c r="AC9" s="19">
        <v>35.522363781178001</v>
      </c>
      <c r="AD9" s="19">
        <v>42.334277844055002</v>
      </c>
      <c r="AE9" s="19">
        <v>48.894210125988998</v>
      </c>
      <c r="AF9" s="19">
        <v>57.000229296683997</v>
      </c>
      <c r="AG9" s="19">
        <v>62.189640459821</v>
      </c>
      <c r="AH9" s="19">
        <v>65.876712887810001</v>
      </c>
      <c r="AI9" s="19">
        <v>69.362746788218999</v>
      </c>
      <c r="AJ9" s="19">
        <v>72.167322929668003</v>
      </c>
      <c r="AK9" s="19">
        <v>75.644942177597997</v>
      </c>
      <c r="AL9" s="19">
        <v>78.632260555949998</v>
      </c>
      <c r="AM9" s="19">
        <v>81.357533462516997</v>
      </c>
      <c r="AN9" s="19">
        <v>84.637929013261001</v>
      </c>
      <c r="AO9" s="19">
        <v>89.354747505396006</v>
      </c>
      <c r="AP9" s="19">
        <v>93.895719694096002</v>
      </c>
      <c r="AQ9" s="19">
        <v>97.347134394847004</v>
      </c>
      <c r="AR9" s="20">
        <v>100.68</v>
      </c>
      <c r="AS9" s="20">
        <v>105.279</v>
      </c>
      <c r="AT9" s="20">
        <v>108.91800000000001</v>
      </c>
      <c r="AU9" s="19" t="s">
        <v>120</v>
      </c>
      <c r="AV9" s="19" t="s">
        <v>121</v>
      </c>
      <c r="AW9" s="21" t="s">
        <v>122</v>
      </c>
      <c r="AX9" s="19">
        <v>127.51300000000001</v>
      </c>
      <c r="AY9" s="19"/>
    </row>
    <row r="10" spans="1:51" x14ac:dyDescent="0.3">
      <c r="A10" s="18" t="s">
        <v>124</v>
      </c>
      <c r="B10" s="19">
        <v>1.5825753553000001E-2</v>
      </c>
      <c r="C10" s="19">
        <v>1.6633853516999999E-2</v>
      </c>
      <c r="D10" s="19">
        <v>1.7577589594999998E-2</v>
      </c>
      <c r="E10" s="19">
        <v>1.8494583243999999E-2</v>
      </c>
      <c r="F10" s="19">
        <v>2.1299049051E-2</v>
      </c>
      <c r="G10" s="19">
        <v>2.5899298684E-2</v>
      </c>
      <c r="H10" s="19">
        <v>2.9842358961000001E-2</v>
      </c>
      <c r="I10" s="19">
        <v>3.4226731396E-2</v>
      </c>
      <c r="J10" s="19">
        <v>4.5255473647E-2</v>
      </c>
      <c r="K10" s="19">
        <v>5.2652541496000002E-2</v>
      </c>
      <c r="L10" s="19">
        <v>6.2133856964999998E-2</v>
      </c>
      <c r="M10" s="19">
        <v>7.9837538703000005E-2</v>
      </c>
      <c r="N10" s="19">
        <v>0.101772751408</v>
      </c>
      <c r="O10" s="19">
        <v>0.17703296945800001</v>
      </c>
      <c r="P10" s="19">
        <v>0.34314609035100002</v>
      </c>
      <c r="Q10" s="19">
        <v>0.55824568831800003</v>
      </c>
      <c r="R10" s="19">
        <v>0.87954062049600001</v>
      </c>
      <c r="S10" s="19">
        <v>1.7235497093359999</v>
      </c>
      <c r="T10" s="19">
        <v>4.0533687462500003</v>
      </c>
      <c r="U10" s="19">
        <v>7.9136934550699998</v>
      </c>
      <c r="V10" s="19">
        <v>9.2824226172830002</v>
      </c>
      <c r="W10" s="19">
        <v>11.944221449111</v>
      </c>
      <c r="X10" s="19">
        <v>14.362585630253999</v>
      </c>
      <c r="Y10" s="19">
        <v>16.562988421728001</v>
      </c>
      <c r="Z10" s="19">
        <v>18.132863626020001</v>
      </c>
      <c r="AA10" s="19">
        <v>19.349075986290998</v>
      </c>
      <c r="AB10" s="19">
        <v>27.761362884707001</v>
      </c>
      <c r="AC10" s="19">
        <v>36.090325763896999</v>
      </c>
      <c r="AD10" s="19">
        <v>42.861548309462002</v>
      </c>
      <c r="AE10" s="19">
        <v>49.687217256384002</v>
      </c>
      <c r="AF10" s="19">
        <v>57.550997682965999</v>
      </c>
      <c r="AG10" s="19">
        <v>62.643933633536001</v>
      </c>
      <c r="AH10" s="19">
        <v>66.489951356085001</v>
      </c>
      <c r="AI10" s="19">
        <v>69.779950763035004</v>
      </c>
      <c r="AJ10" s="19">
        <v>72.596939584726996</v>
      </c>
      <c r="AK10" s="19">
        <v>76.270403343148999</v>
      </c>
      <c r="AL10" s="19">
        <v>78.947404715439006</v>
      </c>
      <c r="AM10" s="19">
        <v>82.178839138559994</v>
      </c>
      <c r="AN10" s="19">
        <v>85.295111472765001</v>
      </c>
      <c r="AO10" s="19">
        <v>89.963658430622999</v>
      </c>
      <c r="AP10" s="19">
        <v>94.366711949963005</v>
      </c>
      <c r="AQ10" s="19">
        <v>97.857433471481997</v>
      </c>
      <c r="AR10" s="20">
        <v>100.92700000000001</v>
      </c>
      <c r="AS10" s="20">
        <v>105.74299999999999</v>
      </c>
      <c r="AT10" s="20">
        <v>109.328</v>
      </c>
      <c r="AU10" s="20" t="s">
        <v>125</v>
      </c>
      <c r="AV10" s="20" t="s">
        <v>126</v>
      </c>
      <c r="AW10" s="21">
        <v>120.277</v>
      </c>
      <c r="AX10" s="19">
        <v>127.91200000000001</v>
      </c>
      <c r="AY10" s="19"/>
    </row>
    <row r="11" spans="1:51" x14ac:dyDescent="0.3">
      <c r="A11" s="18" t="s">
        <v>127</v>
      </c>
      <c r="B11" s="19">
        <v>1.5991959342000001E-2</v>
      </c>
      <c r="C11" s="19">
        <v>1.6639584036999999E-2</v>
      </c>
      <c r="D11" s="19">
        <v>1.7594788053E-2</v>
      </c>
      <c r="E11" s="19">
        <v>1.8507954459000001E-2</v>
      </c>
      <c r="F11" s="19">
        <v>2.1572238351E-2</v>
      </c>
      <c r="G11" s="19">
        <v>2.6413190542E-2</v>
      </c>
      <c r="H11" s="19">
        <v>2.9995193534E-2</v>
      </c>
      <c r="I11" s="19">
        <v>3.6154324095000002E-2</v>
      </c>
      <c r="J11" s="19">
        <v>4.5601256439000003E-2</v>
      </c>
      <c r="K11" s="19">
        <v>5.3290615324E-2</v>
      </c>
      <c r="L11" s="19">
        <v>6.3218966574999994E-2</v>
      </c>
      <c r="M11" s="19">
        <v>8.1046816492000004E-2</v>
      </c>
      <c r="N11" s="19">
        <v>0.10403084551</v>
      </c>
      <c r="O11" s="19">
        <v>0.18621053284899999</v>
      </c>
      <c r="P11" s="19">
        <v>0.35453206953900002</v>
      </c>
      <c r="Q11" s="19">
        <v>0.57775087750800003</v>
      </c>
      <c r="R11" s="19">
        <v>0.91295161123500002</v>
      </c>
      <c r="S11" s="19">
        <v>1.822069042086</v>
      </c>
      <c r="T11" s="19">
        <v>4.391158068587</v>
      </c>
      <c r="U11" s="19">
        <v>7.9740563673600002</v>
      </c>
      <c r="V11" s="19">
        <v>9.4197039782639997</v>
      </c>
      <c r="W11" s="19">
        <v>12.115933957645</v>
      </c>
      <c r="X11" s="19">
        <v>14.529631026183999</v>
      </c>
      <c r="Y11" s="19">
        <v>16.682252798025001</v>
      </c>
      <c r="Z11" s="19">
        <v>18.207023453070001</v>
      </c>
      <c r="AA11" s="19">
        <v>19.450651969134</v>
      </c>
      <c r="AB11" s="19">
        <v>28.332572548668001</v>
      </c>
      <c r="AC11" s="19">
        <v>36.540798135339998</v>
      </c>
      <c r="AD11" s="19">
        <v>43.204083068415002</v>
      </c>
      <c r="AE11" s="19">
        <v>50.399223414452003</v>
      </c>
      <c r="AF11" s="19">
        <v>57.915502044644001</v>
      </c>
      <c r="AG11" s="19">
        <v>63.07530200051</v>
      </c>
      <c r="AH11" s="19">
        <v>66.790457310723994</v>
      </c>
      <c r="AI11" s="19">
        <v>70.087509395709006</v>
      </c>
      <c r="AJ11" s="19">
        <v>72.863122616593003</v>
      </c>
      <c r="AK11" s="19">
        <v>76.798631846800006</v>
      </c>
      <c r="AL11" s="19">
        <v>79.141180445890996</v>
      </c>
      <c r="AM11" s="19">
        <v>82.538117272245003</v>
      </c>
      <c r="AN11" s="19">
        <v>85.627495465924</v>
      </c>
      <c r="AO11" s="19">
        <v>90.576706915931993</v>
      </c>
      <c r="AP11" s="19">
        <v>94.652203595540001</v>
      </c>
      <c r="AQ11" s="19">
        <v>98.461517243282003</v>
      </c>
      <c r="AR11" s="20">
        <v>101.608</v>
      </c>
      <c r="AS11" s="20">
        <v>106.27800000000001</v>
      </c>
      <c r="AT11" s="20" t="s">
        <v>128</v>
      </c>
      <c r="AU11" s="20">
        <v>114.569</v>
      </c>
      <c r="AV11" s="20">
        <v>117.41</v>
      </c>
      <c r="AW11" s="21">
        <v>121.00700000000001</v>
      </c>
      <c r="AX11" s="19">
        <v>128.07894999999999</v>
      </c>
      <c r="AY11" s="19" t="s">
        <v>123</v>
      </c>
    </row>
    <row r="12" spans="1:51" x14ac:dyDescent="0.3">
      <c r="A12" s="18" t="s">
        <v>129</v>
      </c>
      <c r="B12" s="19">
        <v>1.5993869514999998E-2</v>
      </c>
      <c r="C12" s="19">
        <v>1.6729375987E-2</v>
      </c>
      <c r="D12" s="19">
        <v>1.7623440657E-2</v>
      </c>
      <c r="E12" s="19">
        <v>1.8628309185999999E-2</v>
      </c>
      <c r="F12" s="19">
        <v>2.1837786957000001E-2</v>
      </c>
      <c r="G12" s="19">
        <v>2.7146786839999999E-2</v>
      </c>
      <c r="H12" s="19">
        <v>3.0205340210999999E-2</v>
      </c>
      <c r="I12" s="19">
        <v>3.7787715584000001E-2</v>
      </c>
      <c r="J12" s="19">
        <v>4.6099866907999998E-2</v>
      </c>
      <c r="K12" s="19">
        <v>5.3838897201999997E-2</v>
      </c>
      <c r="L12" s="19">
        <v>6.4032797059999993E-2</v>
      </c>
      <c r="M12" s="19">
        <v>8.2452876639E-2</v>
      </c>
      <c r="N12" s="19">
        <v>0.106032941874</v>
      </c>
      <c r="O12" s="19">
        <v>0.19562498534600001</v>
      </c>
      <c r="P12" s="19">
        <v>0.37535352692500001</v>
      </c>
      <c r="Q12" s="19">
        <v>0.59757892051100003</v>
      </c>
      <c r="R12" s="19">
        <v>0.95507211077599996</v>
      </c>
      <c r="S12" s="19">
        <v>1.9451714122179999</v>
      </c>
      <c r="T12" s="19">
        <v>4.7394679649410003</v>
      </c>
      <c r="U12" s="19">
        <v>8.0807694137770003</v>
      </c>
      <c r="V12" s="19">
        <v>9.5519246895110008</v>
      </c>
      <c r="W12" s="19">
        <v>12.437616696434</v>
      </c>
      <c r="X12" s="19">
        <v>14.890406287712</v>
      </c>
      <c r="Y12" s="19">
        <v>16.820858067896999</v>
      </c>
      <c r="Z12" s="19">
        <v>18.287329032569001</v>
      </c>
      <c r="AA12" s="19">
        <v>19.554633143235002</v>
      </c>
      <c r="AB12" s="19">
        <v>29.031205912573</v>
      </c>
      <c r="AC12" s="19">
        <v>37.094432119879002</v>
      </c>
      <c r="AD12" s="19">
        <v>43.687414321475003</v>
      </c>
      <c r="AE12" s="19">
        <v>51.291762400612001</v>
      </c>
      <c r="AF12" s="19">
        <v>58.430545944156997</v>
      </c>
      <c r="AG12" s="19">
        <v>63.614607979973997</v>
      </c>
      <c r="AH12" s="19">
        <v>67.042057015577996</v>
      </c>
      <c r="AI12" s="19">
        <v>70.654355126781994</v>
      </c>
      <c r="AJ12" s="19">
        <v>73.46789598174</v>
      </c>
      <c r="AK12" s="19">
        <v>77.453745526263006</v>
      </c>
      <c r="AL12" s="19">
        <v>79.710784550350994</v>
      </c>
      <c r="AM12" s="19">
        <v>82.971181894037002</v>
      </c>
      <c r="AN12" s="19">
        <v>86.231579237724006</v>
      </c>
      <c r="AO12" s="19">
        <v>91.606269782709006</v>
      </c>
      <c r="AP12" s="19">
        <v>95.143194058464005</v>
      </c>
      <c r="AQ12" s="19">
        <v>99.250412032024997</v>
      </c>
      <c r="AR12" s="20">
        <v>102.70699999999999</v>
      </c>
      <c r="AS12" s="20">
        <v>107</v>
      </c>
      <c r="AT12" s="20">
        <v>110.872</v>
      </c>
      <c r="AU12" s="20">
        <v>115.49299999999999</v>
      </c>
      <c r="AV12" s="20">
        <v>118.051</v>
      </c>
      <c r="AW12" s="21">
        <v>121.953</v>
      </c>
      <c r="AX12" s="19">
        <v>128.09</v>
      </c>
      <c r="AY12" s="19" t="s">
        <v>123</v>
      </c>
    </row>
    <row r="13" spans="1:51" x14ac:dyDescent="0.3">
      <c r="A13" s="22" t="s">
        <v>130</v>
      </c>
      <c r="B13" s="23">
        <v>1.6114224242E-2</v>
      </c>
      <c r="C13" s="23">
        <v>1.6870742623E-2</v>
      </c>
      <c r="D13" s="23">
        <v>1.7707502085999999E-2</v>
      </c>
      <c r="E13" s="23">
        <v>1.8691358706E-2</v>
      </c>
      <c r="F13" s="23">
        <v>2.2686000564999999E-2</v>
      </c>
      <c r="G13" s="23">
        <v>2.7358843689999999E-2</v>
      </c>
      <c r="H13" s="23">
        <v>3.0451780184999999E-2</v>
      </c>
      <c r="I13" s="23">
        <v>3.8735272010000002E-2</v>
      </c>
      <c r="J13" s="23">
        <v>4.6737940736000003E-2</v>
      </c>
      <c r="K13" s="23">
        <v>5.4295483853000003E-2</v>
      </c>
      <c r="L13" s="23">
        <v>6.5165661010000001E-2</v>
      </c>
      <c r="M13" s="23">
        <v>8.4615448270000004E-2</v>
      </c>
      <c r="N13" s="23">
        <v>0.108887079089</v>
      </c>
      <c r="O13" s="23">
        <v>0.21651520898099999</v>
      </c>
      <c r="P13" s="23">
        <v>0.391412349238</v>
      </c>
      <c r="Q13" s="23">
        <v>0.62295858991999997</v>
      </c>
      <c r="R13" s="23">
        <v>1.0200906746289999</v>
      </c>
      <c r="S13" s="23">
        <v>2.0988229951799999</v>
      </c>
      <c r="T13" s="23">
        <v>5.4394787294929996</v>
      </c>
      <c r="U13" s="23">
        <v>8.2493717873569992</v>
      </c>
      <c r="V13" s="23">
        <v>9.8742875328420006</v>
      </c>
      <c r="W13" s="23">
        <v>12.829619358264001</v>
      </c>
      <c r="X13" s="23">
        <v>15.240897864329</v>
      </c>
      <c r="Y13" s="23">
        <v>17.060370670215999</v>
      </c>
      <c r="Z13" s="23">
        <v>18.426767234662002</v>
      </c>
      <c r="AA13" s="23">
        <v>19.726139318544</v>
      </c>
      <c r="AB13" s="23">
        <v>29.977045058028999</v>
      </c>
      <c r="AC13" s="23">
        <v>38.282127940254</v>
      </c>
      <c r="AD13" s="23">
        <v>44.299506554585001</v>
      </c>
      <c r="AE13" s="23">
        <v>52.543265583085997</v>
      </c>
      <c r="AF13" s="23">
        <v>59.015892575148001</v>
      </c>
      <c r="AG13" s="23">
        <v>64.303307262108007</v>
      </c>
      <c r="AH13" s="23">
        <v>67.134902470813003</v>
      </c>
      <c r="AI13" s="23">
        <v>70.961913759455996</v>
      </c>
      <c r="AJ13" s="23">
        <v>73.783729734575999</v>
      </c>
      <c r="AK13" s="23">
        <v>77.613731182722006</v>
      </c>
      <c r="AL13" s="23">
        <v>80.200395826581001</v>
      </c>
      <c r="AM13" s="23">
        <v>83.451138863411998</v>
      </c>
      <c r="AN13" s="23">
        <v>86.588098998020996</v>
      </c>
      <c r="AO13" s="23">
        <v>92.240695661768001</v>
      </c>
      <c r="AP13" s="23">
        <v>95.536951859487999</v>
      </c>
      <c r="AQ13" s="23">
        <v>99.742092088296005</v>
      </c>
      <c r="AR13" s="24">
        <v>103.551</v>
      </c>
      <c r="AS13" s="24">
        <v>107.246</v>
      </c>
      <c r="AT13" s="24">
        <v>111.508</v>
      </c>
      <c r="AU13" s="24">
        <v>116.059</v>
      </c>
      <c r="AV13" s="24">
        <v>118.532</v>
      </c>
      <c r="AW13" s="25">
        <v>122.515</v>
      </c>
      <c r="AX13" s="23">
        <v>128.12</v>
      </c>
      <c r="AY13" s="23" t="s">
        <v>123</v>
      </c>
    </row>
    <row r="14" spans="1:51" x14ac:dyDescent="0.3">
      <c r="A14" s="17" t="s">
        <v>131</v>
      </c>
      <c r="B14" s="17" t="s">
        <v>132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opLeftCell="F1" workbookViewId="0">
      <selection activeCell="J5" sqref="J5"/>
    </sheetView>
  </sheetViews>
  <sheetFormatPr baseColWidth="10" defaultRowHeight="14.4" x14ac:dyDescent="0.3"/>
  <cols>
    <col min="1" max="1" width="4.33203125" style="30" bestFit="1" customWidth="1"/>
    <col min="2" max="2" width="11.5546875" style="1"/>
    <col min="3" max="3" width="13.109375" style="1" bestFit="1" customWidth="1"/>
    <col min="4" max="4" width="18.109375" style="1" bestFit="1" customWidth="1"/>
    <col min="5" max="6" width="11.5546875" style="1"/>
    <col min="7" max="7" width="13.77734375" style="1" customWidth="1"/>
    <col min="8" max="8" width="15.5546875" style="1" customWidth="1"/>
    <col min="9" max="9" width="13.5546875" style="1" customWidth="1"/>
    <col min="10" max="10" width="12.6640625" style="1" bestFit="1" customWidth="1"/>
    <col min="11" max="14" width="11.5546875" style="1"/>
    <col min="15" max="15" width="13.109375" style="1" bestFit="1" customWidth="1"/>
    <col min="16" max="16" width="18.109375" style="1" bestFit="1" customWidth="1"/>
    <col min="17" max="20" width="15.33203125" style="1" customWidth="1"/>
    <col min="21" max="24" width="12.77734375" style="1" bestFit="1" customWidth="1"/>
    <col min="25" max="16384" width="11.5546875" style="1"/>
  </cols>
  <sheetData>
    <row r="1" spans="3:24" x14ac:dyDescent="0.3">
      <c r="R1" s="1" t="s">
        <v>0</v>
      </c>
      <c r="S1" s="1" t="s">
        <v>1</v>
      </c>
      <c r="T1" s="1" t="s">
        <v>2</v>
      </c>
      <c r="U1" s="1" t="s">
        <v>3</v>
      </c>
      <c r="V1" s="1" t="s">
        <v>4</v>
      </c>
      <c r="W1" s="1" t="s">
        <v>3</v>
      </c>
      <c r="X1" s="1" t="s">
        <v>4</v>
      </c>
    </row>
    <row r="2" spans="3:24" x14ac:dyDescent="0.3">
      <c r="Q2" s="1" t="s">
        <v>24</v>
      </c>
      <c r="R2" s="1">
        <f>D5</f>
        <v>450981</v>
      </c>
      <c r="S2" s="1">
        <f>SUM(D5:D6)</f>
        <v>887853</v>
      </c>
      <c r="T2" s="1">
        <f>SUM(D5:D7)</f>
        <v>1710019</v>
      </c>
      <c r="U2" s="1">
        <f>(SUM(D5:D8))</f>
        <v>2311553</v>
      </c>
      <c r="V2" s="1">
        <f>(SUM(D5:D9))</f>
        <v>2617464</v>
      </c>
      <c r="W2" s="1">
        <f>(SUM(D15:D18))</f>
        <v>2611553</v>
      </c>
      <c r="X2" s="1">
        <f>(SUM(D15:D19))</f>
        <v>3017464</v>
      </c>
    </row>
    <row r="3" spans="3:24" x14ac:dyDescent="0.3">
      <c r="C3" s="7"/>
      <c r="D3" s="89" t="s">
        <v>14</v>
      </c>
      <c r="E3" s="89"/>
      <c r="F3" s="89"/>
      <c r="G3" s="89"/>
      <c r="H3" s="89" t="s">
        <v>13</v>
      </c>
      <c r="I3" s="89"/>
      <c r="J3" s="89"/>
      <c r="K3" s="89"/>
      <c r="L3" s="89"/>
      <c r="M3" s="8"/>
      <c r="N3" s="1" t="s">
        <v>37</v>
      </c>
      <c r="Q3" s="1" t="s">
        <v>25</v>
      </c>
      <c r="R3" s="1">
        <f>SUM(H5:K5)</f>
        <v>243559.56</v>
      </c>
      <c r="S3" s="1">
        <f>SUM(H5:K5)+SUM(H6:K6)</f>
        <v>528839.52</v>
      </c>
      <c r="T3" s="1">
        <f>SUM(H5:K5)+SUM(H6:K6)+SUM(H7:K7)</f>
        <v>910937.72</v>
      </c>
      <c r="U3" s="1">
        <f>(SUM(H5:H8))+(SUM(I5:I8))+(SUM(J5:J8))+SUM(K5:K8)</f>
        <v>1186958.9200000002</v>
      </c>
      <c r="V3" s="1">
        <f>(SUM(H5:H9))+(SUM(I5:I9))+(SUM(J5:J9))+SUM(K5:K9)</f>
        <v>1346671.44</v>
      </c>
      <c r="W3" s="1">
        <f>(SUM(H15:H18))+(SUM(I15:I18))+(SUM(J15:J18))+SUM(K15:K18)</f>
        <v>1318958.92</v>
      </c>
      <c r="X3" s="1">
        <f>(SUM(H15:H19))+(SUM(I15:I19))+(SUM(J15:J19))+SUM(K15:K19)</f>
        <v>1510671.44</v>
      </c>
    </row>
    <row r="4" spans="3:24" x14ac:dyDescent="0.3">
      <c r="C4" s="7"/>
      <c r="D4" s="8" t="s">
        <v>8</v>
      </c>
      <c r="E4" s="8" t="s">
        <v>5</v>
      </c>
      <c r="F4" s="8" t="s">
        <v>6</v>
      </c>
      <c r="G4" s="8" t="s">
        <v>7</v>
      </c>
      <c r="H4" s="8" t="s">
        <v>9</v>
      </c>
      <c r="I4" s="8" t="s">
        <v>10</v>
      </c>
      <c r="J4" s="8" t="s">
        <v>188</v>
      </c>
      <c r="K4" s="8" t="s">
        <v>12</v>
      </c>
      <c r="L4" s="8" t="s">
        <v>5</v>
      </c>
      <c r="M4" s="8" t="s">
        <v>15</v>
      </c>
      <c r="N4" s="1" t="s">
        <v>38</v>
      </c>
      <c r="Q4" s="1" t="s">
        <v>26</v>
      </c>
      <c r="R4" s="1">
        <f>G32+J32</f>
        <v>1571.9699999999998</v>
      </c>
      <c r="U4" s="1">
        <f>+N24+N26</f>
        <v>0</v>
      </c>
      <c r="V4" s="1">
        <f>+O24+O26</f>
        <v>0</v>
      </c>
      <c r="W4" s="1">
        <f>+U4</f>
        <v>0</v>
      </c>
      <c r="X4" s="1">
        <f>+V4</f>
        <v>0</v>
      </c>
    </row>
    <row r="5" spans="3:24" x14ac:dyDescent="0.3">
      <c r="C5" s="8" t="s">
        <v>0</v>
      </c>
      <c r="D5" s="7">
        <v>450981</v>
      </c>
      <c r="E5" s="7">
        <f>ROUND((D5*0.16),2)</f>
        <v>72156.960000000006</v>
      </c>
      <c r="F5" s="7">
        <f>+E5*(0.666666666666667)</f>
        <v>48104.640000000029</v>
      </c>
      <c r="G5" s="7">
        <f>+D5*0.1</f>
        <v>45098.100000000006</v>
      </c>
      <c r="H5" s="7">
        <f>ROUND((D5*0.3),2)</f>
        <v>135294.29999999999</v>
      </c>
      <c r="I5" s="7">
        <f>ROUND((D5*0.02),2)</f>
        <v>9019.6200000000008</v>
      </c>
      <c r="J5" s="7">
        <v>46821</v>
      </c>
      <c r="K5" s="7">
        <f>ROUND((D6*0.12),2)</f>
        <v>52424.639999999999</v>
      </c>
      <c r="L5" s="7">
        <f>(H5+I5+K5)*0.16</f>
        <v>31478.169600000001</v>
      </c>
      <c r="M5" s="7">
        <v>12979.903200000001</v>
      </c>
      <c r="N5" s="1">
        <f>+E5-F5-L5</f>
        <v>-7425.8496000000232</v>
      </c>
      <c r="Q5" s="10" t="s">
        <v>28</v>
      </c>
      <c r="R5" s="10">
        <f>R2-R3-R4</f>
        <v>205849.47</v>
      </c>
      <c r="S5" s="10"/>
      <c r="T5" s="10"/>
      <c r="U5" s="10">
        <f>+U2-U3-U4</f>
        <v>1124594.0799999998</v>
      </c>
      <c r="V5" s="10">
        <f>+V2-V3-V4</f>
        <v>1270792.56</v>
      </c>
      <c r="W5" s="10">
        <f>+W2-W3-W4</f>
        <v>1292594.08</v>
      </c>
      <c r="X5" s="10">
        <f>+X2-X3-X4</f>
        <v>1506792.56</v>
      </c>
    </row>
    <row r="6" spans="3:24" x14ac:dyDescent="0.3">
      <c r="C6" s="8" t="s">
        <v>1</v>
      </c>
      <c r="D6" s="7">
        <v>436872</v>
      </c>
      <c r="E6" s="7">
        <f t="shared" ref="E6:E9" si="0">ROUND((D6*0.16),2)</f>
        <v>69899.520000000004</v>
      </c>
      <c r="F6" s="7">
        <f t="shared" ref="F6:F9" si="1">+E6*(0.666666666666667)</f>
        <v>46599.680000000022</v>
      </c>
      <c r="G6" s="7">
        <f t="shared" ref="G6:G9" si="2">+D6*0.1</f>
        <v>43687.200000000004</v>
      </c>
      <c r="H6" s="7">
        <f t="shared" ref="H6:H9" si="3">ROUND((D6*0.3),2)</f>
        <v>131061.6</v>
      </c>
      <c r="I6" s="7">
        <f t="shared" ref="I6:I9" si="4">ROUND((D6*0.02),2)</f>
        <v>8737.44</v>
      </c>
      <c r="J6" s="7">
        <v>46821</v>
      </c>
      <c r="K6" s="7">
        <f t="shared" ref="K6:K8" si="5">ROUND((D7*0.12),2)</f>
        <v>98659.92</v>
      </c>
      <c r="L6" s="7">
        <f t="shared" ref="L6:L9" si="6">(H6+I6+K6)*0.16</f>
        <v>38153.433600000004</v>
      </c>
      <c r="M6" s="7">
        <v>0</v>
      </c>
      <c r="N6" s="1">
        <f t="shared" ref="N6:N9" si="7">+E6-F6-L6</f>
        <v>-14853.593600000022</v>
      </c>
      <c r="Q6" s="1" t="s">
        <v>29</v>
      </c>
      <c r="U6" s="1">
        <v>1000000.01</v>
      </c>
      <c r="V6" s="1">
        <v>1250000.01</v>
      </c>
      <c r="W6" s="1">
        <v>1000000.01</v>
      </c>
      <c r="X6" s="1">
        <v>1250000.01</v>
      </c>
    </row>
    <row r="7" spans="3:24" x14ac:dyDescent="0.3">
      <c r="C7" s="8" t="s">
        <v>2</v>
      </c>
      <c r="D7" s="7">
        <v>822166</v>
      </c>
      <c r="E7" s="7">
        <f t="shared" si="0"/>
        <v>131546.56</v>
      </c>
      <c r="F7" s="7">
        <f t="shared" si="1"/>
        <v>87697.706666666709</v>
      </c>
      <c r="G7" s="7">
        <f t="shared" si="2"/>
        <v>82216.600000000006</v>
      </c>
      <c r="H7" s="7">
        <f t="shared" si="3"/>
        <v>246649.8</v>
      </c>
      <c r="I7" s="7">
        <f t="shared" si="4"/>
        <v>16443.32</v>
      </c>
      <c r="J7" s="7">
        <v>46821</v>
      </c>
      <c r="K7" s="7">
        <f t="shared" si="5"/>
        <v>72184.08</v>
      </c>
      <c r="L7" s="7">
        <f t="shared" si="6"/>
        <v>53644.352000000006</v>
      </c>
      <c r="M7" s="7">
        <v>41002.384000000005</v>
      </c>
      <c r="N7" s="1">
        <f t="shared" si="7"/>
        <v>-9795.4986666667173</v>
      </c>
      <c r="Q7" s="1" t="s">
        <v>30</v>
      </c>
      <c r="U7" s="1">
        <f>+U5-U6</f>
        <v>124594.06999999983</v>
      </c>
      <c r="V7" s="1">
        <f>+V5-V6</f>
        <v>20792.550000000047</v>
      </c>
      <c r="W7" s="1">
        <f>+W5-W6</f>
        <v>292594.07000000007</v>
      </c>
      <c r="X7" s="1">
        <f>+X5-X6</f>
        <v>256792.55000000005</v>
      </c>
    </row>
    <row r="8" spans="3:24" x14ac:dyDescent="0.3">
      <c r="C8" s="8" t="s">
        <v>3</v>
      </c>
      <c r="D8" s="7">
        <v>601534</v>
      </c>
      <c r="E8" s="7">
        <f>ROUND((D8*0.16),2)</f>
        <v>96245.440000000002</v>
      </c>
      <c r="F8" s="7">
        <f t="shared" si="1"/>
        <v>64163.6266666667</v>
      </c>
      <c r="G8" s="7">
        <f t="shared" si="2"/>
        <v>60153.4</v>
      </c>
      <c r="H8" s="7">
        <f t="shared" si="3"/>
        <v>180460.2</v>
      </c>
      <c r="I8" s="7">
        <f t="shared" si="4"/>
        <v>12030.68</v>
      </c>
      <c r="J8" s="7">
        <v>46821</v>
      </c>
      <c r="K8" s="7">
        <f t="shared" si="5"/>
        <v>36709.32</v>
      </c>
      <c r="L8" s="7">
        <f>(H8+I8+K8)*0.16</f>
        <v>36672.031999999999</v>
      </c>
      <c r="M8" s="7">
        <f>+U14</f>
        <v>72087.257299999867</v>
      </c>
      <c r="N8" s="1">
        <f>+E8-F8-L8</f>
        <v>-4590.2186666666967</v>
      </c>
      <c r="Q8" s="1" t="s">
        <v>31</v>
      </c>
      <c r="U8" s="1">
        <v>0.35</v>
      </c>
      <c r="V8" s="1">
        <v>0.35</v>
      </c>
      <c r="W8" s="1">
        <v>0.35</v>
      </c>
      <c r="X8" s="1">
        <v>0.35</v>
      </c>
    </row>
    <row r="9" spans="3:24" x14ac:dyDescent="0.3">
      <c r="C9" s="8" t="s">
        <v>4</v>
      </c>
      <c r="D9" s="7">
        <v>305911</v>
      </c>
      <c r="E9" s="7">
        <f t="shared" si="0"/>
        <v>48945.760000000002</v>
      </c>
      <c r="F9" s="7">
        <f t="shared" si="1"/>
        <v>32630.506666666683</v>
      </c>
      <c r="G9" s="7">
        <f t="shared" si="2"/>
        <v>30591.100000000002</v>
      </c>
      <c r="H9" s="7">
        <f t="shared" si="3"/>
        <v>91773.3</v>
      </c>
      <c r="I9" s="7">
        <f t="shared" si="4"/>
        <v>6118.22</v>
      </c>
      <c r="J9" s="7">
        <v>46821</v>
      </c>
      <c r="K9" s="7">
        <v>15000</v>
      </c>
      <c r="L9" s="7">
        <f t="shared" si="6"/>
        <v>18062.643200000002</v>
      </c>
      <c r="M9" s="7">
        <f>+V14</f>
        <v>11482.598000000144</v>
      </c>
      <c r="N9" s="1">
        <f t="shared" si="7"/>
        <v>-1747.3898666666828</v>
      </c>
      <c r="Q9" s="1" t="s">
        <v>32</v>
      </c>
      <c r="U9" s="1">
        <f>+U7*U8</f>
        <v>43607.924499999936</v>
      </c>
      <c r="V9" s="1">
        <f>+V7*V8</f>
        <v>7277.3925000000154</v>
      </c>
      <c r="W9" s="1">
        <f>+W7*W8</f>
        <v>102407.92450000002</v>
      </c>
      <c r="X9" s="1">
        <f>+X7*X8</f>
        <v>89877.392500000016</v>
      </c>
    </row>
    <row r="10" spans="3:24" x14ac:dyDescent="0.3">
      <c r="C10" s="2"/>
      <c r="Q10" s="1" t="s">
        <v>33</v>
      </c>
      <c r="U10" s="1">
        <v>313616.92</v>
      </c>
      <c r="V10" s="1">
        <v>392021.15</v>
      </c>
      <c r="W10" s="1">
        <v>313616.92</v>
      </c>
      <c r="X10" s="1">
        <v>392021.15</v>
      </c>
    </row>
    <row r="11" spans="3:24" x14ac:dyDescent="0.3">
      <c r="C11" s="2"/>
      <c r="Q11" s="10" t="s">
        <v>34</v>
      </c>
      <c r="R11" s="10"/>
      <c r="S11" s="10"/>
      <c r="T11" s="10"/>
      <c r="U11" s="10">
        <f>+U9+U10</f>
        <v>357224.84449999989</v>
      </c>
      <c r="V11" s="10">
        <f>+V9+V10</f>
        <v>399298.54250000004</v>
      </c>
      <c r="W11" s="10">
        <f>+W9+W10</f>
        <v>416024.84450000001</v>
      </c>
      <c r="X11" s="10">
        <f>+X9+X10</f>
        <v>481898.54250000004</v>
      </c>
    </row>
    <row r="12" spans="3:24" x14ac:dyDescent="0.3">
      <c r="C12" s="2"/>
      <c r="Q12" s="11" t="s">
        <v>7</v>
      </c>
      <c r="R12" s="11"/>
      <c r="S12" s="11"/>
      <c r="T12" s="11"/>
      <c r="U12" s="11">
        <f>SUM(G5:G8)</f>
        <v>231155.30000000002</v>
      </c>
      <c r="V12" s="11">
        <f>SUM(G5:G9)</f>
        <v>261746.40000000002</v>
      </c>
      <c r="W12" s="11">
        <f>SUM(G15:G18)</f>
        <v>261155.30000000002</v>
      </c>
      <c r="X12" s="11">
        <f>SUM(G15:G19)</f>
        <v>301746.40000000002</v>
      </c>
    </row>
    <row r="13" spans="3:24" x14ac:dyDescent="0.3">
      <c r="C13" s="8"/>
      <c r="D13" s="89" t="s">
        <v>14</v>
      </c>
      <c r="E13" s="89"/>
      <c r="F13" s="89"/>
      <c r="G13" s="89"/>
      <c r="H13" s="89" t="s">
        <v>13</v>
      </c>
      <c r="I13" s="89"/>
      <c r="J13" s="89"/>
      <c r="K13" s="89"/>
      <c r="L13" s="89"/>
      <c r="M13" s="8"/>
      <c r="N13" s="1" t="s">
        <v>37</v>
      </c>
      <c r="Q13" s="11" t="s">
        <v>35</v>
      </c>
      <c r="R13" s="11"/>
      <c r="S13" s="11"/>
      <c r="T13" s="11"/>
      <c r="U13" s="11">
        <f>SUM(M5:M7)</f>
        <v>53982.287200000006</v>
      </c>
      <c r="V13" s="11">
        <f>SUM(M5:M8)</f>
        <v>126069.54449999987</v>
      </c>
      <c r="W13" s="11">
        <f>SUM(M15:M17)</f>
        <v>53982.287200000006</v>
      </c>
      <c r="X13" s="11">
        <f>SUM(M15:M18)</f>
        <v>154869.54449999999</v>
      </c>
    </row>
    <row r="14" spans="3:24" x14ac:dyDescent="0.3">
      <c r="C14" s="8"/>
      <c r="D14" s="8" t="s">
        <v>8</v>
      </c>
      <c r="E14" s="8" t="s">
        <v>5</v>
      </c>
      <c r="F14" s="8" t="s">
        <v>6</v>
      </c>
      <c r="G14" s="8" t="s">
        <v>7</v>
      </c>
      <c r="H14" s="8" t="s">
        <v>9</v>
      </c>
      <c r="I14" s="8" t="s">
        <v>10</v>
      </c>
      <c r="J14" s="8" t="s">
        <v>11</v>
      </c>
      <c r="K14" s="8" t="s">
        <v>12</v>
      </c>
      <c r="L14" s="8" t="s">
        <v>5</v>
      </c>
      <c r="M14" s="8" t="s">
        <v>15</v>
      </c>
      <c r="N14" s="1" t="s">
        <v>38</v>
      </c>
      <c r="Q14" s="10" t="s">
        <v>36</v>
      </c>
      <c r="R14" s="10"/>
      <c r="S14" s="10"/>
      <c r="T14" s="10"/>
      <c r="U14" s="10">
        <f>+U11-U12-U13</f>
        <v>72087.257299999867</v>
      </c>
      <c r="V14" s="10">
        <f>+V11-V12-V13</f>
        <v>11482.598000000144</v>
      </c>
      <c r="W14" s="10">
        <f>+W11-W12-W13</f>
        <v>100887.25729999998</v>
      </c>
      <c r="X14" s="10">
        <f>+X11-X12-X13</f>
        <v>25282.598000000027</v>
      </c>
    </row>
    <row r="15" spans="3:24" x14ac:dyDescent="0.3">
      <c r="C15" s="8" t="s">
        <v>0</v>
      </c>
      <c r="D15" s="7">
        <v>550981</v>
      </c>
      <c r="E15" s="7">
        <f>ROUND((D15*0.16),2)</f>
        <v>88156.96</v>
      </c>
      <c r="F15" s="7">
        <f t="shared" ref="F15:F19" si="8">+E15*(0.666666666666667)</f>
        <v>58771.3066666667</v>
      </c>
      <c r="G15" s="7">
        <f>+D15*0.1</f>
        <v>55098.100000000006</v>
      </c>
      <c r="H15" s="7">
        <f>ROUND((D15*0.3),2)</f>
        <v>165294.29999999999</v>
      </c>
      <c r="I15" s="7">
        <f>ROUND((D15*0.02),2)</f>
        <v>11019.62</v>
      </c>
      <c r="J15" s="7">
        <v>46821</v>
      </c>
      <c r="K15" s="7">
        <f>ROUND((D16*0.12),2)</f>
        <v>64424.639999999999</v>
      </c>
      <c r="L15" s="7">
        <f>(H15+I15+K15)*0.16</f>
        <v>38518.169600000001</v>
      </c>
      <c r="M15" s="7">
        <v>12979.903200000001</v>
      </c>
      <c r="N15" s="1">
        <f>+E15-F15-L15</f>
        <v>-9132.5162666666947</v>
      </c>
    </row>
    <row r="16" spans="3:24" x14ac:dyDescent="0.3">
      <c r="C16" s="8" t="s">
        <v>1</v>
      </c>
      <c r="D16" s="7">
        <v>536872</v>
      </c>
      <c r="E16" s="7">
        <f t="shared" ref="E16:E19" si="9">ROUND((D16*0.16),2)</f>
        <v>85899.520000000004</v>
      </c>
      <c r="F16" s="7">
        <f t="shared" si="8"/>
        <v>57266.346666666694</v>
      </c>
      <c r="G16" s="7">
        <f t="shared" ref="G16:G19" si="10">+D16*0.1</f>
        <v>53687.200000000004</v>
      </c>
      <c r="H16" s="7">
        <f t="shared" ref="H16:H19" si="11">ROUND((D16*0.3),2)</f>
        <v>161061.6</v>
      </c>
      <c r="I16" s="7">
        <f t="shared" ref="I16:I19" si="12">ROUND((D16*0.02),2)</f>
        <v>10737.44</v>
      </c>
      <c r="J16" s="7">
        <v>46821</v>
      </c>
      <c r="K16" s="7">
        <f t="shared" ref="K16:K18" si="13">ROUND((D17*0.12),2)</f>
        <v>110659.92</v>
      </c>
      <c r="L16" s="7">
        <f t="shared" ref="L16:L19" si="14">(H16+I16+K16)*0.16</f>
        <v>45193.433600000004</v>
      </c>
      <c r="M16" s="7">
        <v>0</v>
      </c>
      <c r="N16" s="1">
        <f t="shared" ref="N16:N19" si="15">+E16-F16-L16</f>
        <v>-16560.260266666693</v>
      </c>
    </row>
    <row r="17" spans="1:15" x14ac:dyDescent="0.3">
      <c r="C17" s="8" t="s">
        <v>2</v>
      </c>
      <c r="D17" s="7">
        <v>922166</v>
      </c>
      <c r="E17" s="7">
        <f t="shared" si="9"/>
        <v>147546.56</v>
      </c>
      <c r="F17" s="7">
        <f t="shared" si="8"/>
        <v>98364.37333333338</v>
      </c>
      <c r="G17" s="7">
        <f t="shared" si="10"/>
        <v>92216.6</v>
      </c>
      <c r="H17" s="7">
        <f t="shared" si="11"/>
        <v>276649.8</v>
      </c>
      <c r="I17" s="7">
        <f t="shared" si="12"/>
        <v>18443.32</v>
      </c>
      <c r="J17" s="7">
        <v>46821</v>
      </c>
      <c r="K17" s="7">
        <f t="shared" si="13"/>
        <v>72184.08</v>
      </c>
      <c r="L17" s="7">
        <f t="shared" si="14"/>
        <v>58764.352000000006</v>
      </c>
      <c r="M17" s="7">
        <v>41002.384000000005</v>
      </c>
      <c r="N17" s="1">
        <f t="shared" si="15"/>
        <v>-9582.1653333333888</v>
      </c>
    </row>
    <row r="18" spans="1:15" x14ac:dyDescent="0.3">
      <c r="C18" s="8" t="s">
        <v>3</v>
      </c>
      <c r="D18" s="7">
        <v>601534</v>
      </c>
      <c r="E18" s="7">
        <f t="shared" si="9"/>
        <v>96245.440000000002</v>
      </c>
      <c r="F18" s="7">
        <f t="shared" si="8"/>
        <v>64163.6266666667</v>
      </c>
      <c r="G18" s="7">
        <f t="shared" si="10"/>
        <v>60153.4</v>
      </c>
      <c r="H18" s="7">
        <f t="shared" si="11"/>
        <v>180460.2</v>
      </c>
      <c r="I18" s="7">
        <f t="shared" si="12"/>
        <v>12030.68</v>
      </c>
      <c r="J18" s="7">
        <v>46821</v>
      </c>
      <c r="K18" s="7">
        <f t="shared" si="13"/>
        <v>48709.32</v>
      </c>
      <c r="L18" s="7">
        <f t="shared" si="14"/>
        <v>38592.031999999999</v>
      </c>
      <c r="M18" s="7">
        <f>+W14</f>
        <v>100887.25729999998</v>
      </c>
      <c r="N18" s="1">
        <f t="shared" si="15"/>
        <v>-6510.2186666666967</v>
      </c>
    </row>
    <row r="19" spans="1:15" x14ac:dyDescent="0.3">
      <c r="C19" s="8" t="s">
        <v>4</v>
      </c>
      <c r="D19" s="7">
        <v>405911</v>
      </c>
      <c r="E19" s="7">
        <f t="shared" si="9"/>
        <v>64945.760000000002</v>
      </c>
      <c r="F19" s="7">
        <f t="shared" si="8"/>
        <v>43297.173333333354</v>
      </c>
      <c r="G19" s="7">
        <f t="shared" si="10"/>
        <v>40591.100000000006</v>
      </c>
      <c r="H19" s="7">
        <f t="shared" si="11"/>
        <v>121773.3</v>
      </c>
      <c r="I19" s="7">
        <f t="shared" si="12"/>
        <v>8118.22</v>
      </c>
      <c r="J19" s="7">
        <v>46821</v>
      </c>
      <c r="K19" s="7">
        <v>15000</v>
      </c>
      <c r="L19" s="7">
        <f t="shared" si="14"/>
        <v>23182.643200000002</v>
      </c>
      <c r="M19" s="7">
        <f>+X14</f>
        <v>25282.598000000027</v>
      </c>
      <c r="N19" s="1">
        <f t="shared" si="15"/>
        <v>-1534.0565333333543</v>
      </c>
    </row>
    <row r="23" spans="1:15" ht="45.6" customHeight="1" x14ac:dyDescent="0.3">
      <c r="B23" s="5"/>
      <c r="C23" s="3" t="s">
        <v>16</v>
      </c>
      <c r="D23" s="3" t="s">
        <v>17</v>
      </c>
      <c r="E23" s="3" t="s">
        <v>21</v>
      </c>
      <c r="F23" s="3" t="s">
        <v>5</v>
      </c>
      <c r="G23" s="3" t="s">
        <v>22</v>
      </c>
      <c r="H23" s="4" t="s">
        <v>23</v>
      </c>
      <c r="I23" s="5" t="s">
        <v>5</v>
      </c>
      <c r="J23" s="5" t="s">
        <v>22</v>
      </c>
      <c r="K23" s="5" t="s">
        <v>27</v>
      </c>
      <c r="L23" s="9"/>
      <c r="M23" s="9"/>
      <c r="N23" s="9"/>
      <c r="O23" s="9"/>
    </row>
    <row r="24" spans="1:15" x14ac:dyDescent="0.3">
      <c r="B24" s="7" t="s">
        <v>139</v>
      </c>
      <c r="C24" s="6">
        <v>42024</v>
      </c>
      <c r="D24" s="7" t="s">
        <v>18</v>
      </c>
      <c r="E24" s="7">
        <v>21358</v>
      </c>
      <c r="F24" s="7">
        <f>E24*0.16</f>
        <v>3417.28</v>
      </c>
      <c r="G24" s="7">
        <f>+E24+F24</f>
        <v>24775.279999999999</v>
      </c>
      <c r="H24" s="7">
        <f>+E24*0.15</f>
        <v>3203.7</v>
      </c>
      <c r="I24" s="7">
        <f t="shared" ref="I24:I26" si="16">H24*0.16</f>
        <v>512.59199999999998</v>
      </c>
      <c r="J24" s="7">
        <f t="shared" ref="J24:J26" si="17">+H24+I24</f>
        <v>3716.2919999999999</v>
      </c>
      <c r="K24" s="7">
        <v>0.3</v>
      </c>
    </row>
    <row r="25" spans="1:15" x14ac:dyDescent="0.3">
      <c r="B25" s="7"/>
      <c r="C25" s="6">
        <v>40834</v>
      </c>
      <c r="D25" s="7" t="s">
        <v>20</v>
      </c>
      <c r="E25" s="7">
        <v>215467</v>
      </c>
      <c r="F25" s="7">
        <f t="shared" ref="F25:F26" si="18">E25*0.16</f>
        <v>34474.720000000001</v>
      </c>
      <c r="G25" s="7">
        <f t="shared" ref="G25:G26" si="19">+E25+F25</f>
        <v>249941.72</v>
      </c>
      <c r="H25" s="7"/>
      <c r="I25" s="7"/>
      <c r="J25" s="7"/>
      <c r="K25" s="7">
        <v>0.25</v>
      </c>
    </row>
    <row r="26" spans="1:15" x14ac:dyDescent="0.3">
      <c r="B26" s="7" t="s">
        <v>140</v>
      </c>
      <c r="C26" s="6">
        <v>42033</v>
      </c>
      <c r="D26" s="7" t="s">
        <v>19</v>
      </c>
      <c r="E26" s="7">
        <v>38642</v>
      </c>
      <c r="F26" s="7">
        <f t="shared" si="18"/>
        <v>6182.72</v>
      </c>
      <c r="G26" s="7">
        <f t="shared" si="19"/>
        <v>44824.72</v>
      </c>
      <c r="H26" s="7">
        <f>+E26*0.15</f>
        <v>5796.3</v>
      </c>
      <c r="I26" s="7">
        <f t="shared" si="16"/>
        <v>927.40800000000002</v>
      </c>
      <c r="J26" s="7">
        <f t="shared" si="17"/>
        <v>6723.7080000000005</v>
      </c>
      <c r="K26" s="7">
        <v>0.3</v>
      </c>
    </row>
    <row r="28" spans="1:15" ht="15" thickBot="1" x14ac:dyDescent="0.35">
      <c r="C28" s="1" t="s">
        <v>39</v>
      </c>
    </row>
    <row r="29" spans="1:15" ht="15.6" x14ac:dyDescent="0.3">
      <c r="C29" s="91" t="s">
        <v>40</v>
      </c>
      <c r="D29" s="93" t="s">
        <v>133</v>
      </c>
      <c r="E29" s="93"/>
      <c r="F29" s="93"/>
      <c r="G29" s="94"/>
      <c r="I29" s="31"/>
      <c r="J29" s="31"/>
      <c r="K29" s="31"/>
      <c r="L29" s="31"/>
    </row>
    <row r="30" spans="1:15" ht="16.2" thickBot="1" x14ac:dyDescent="0.35">
      <c r="C30" s="92"/>
      <c r="D30" s="95" t="s">
        <v>134</v>
      </c>
      <c r="E30" s="95"/>
      <c r="F30" s="95"/>
      <c r="G30" s="96"/>
      <c r="I30" s="31"/>
      <c r="J30" s="31"/>
      <c r="K30" s="31"/>
      <c r="L30" s="31"/>
    </row>
    <row r="31" spans="1:15" x14ac:dyDescent="0.3">
      <c r="A31" s="37"/>
      <c r="B31" s="2" t="s">
        <v>144</v>
      </c>
      <c r="C31" s="97" t="s">
        <v>142</v>
      </c>
      <c r="D31" s="97"/>
      <c r="E31" s="2" t="s">
        <v>143</v>
      </c>
      <c r="F31" s="2" t="s">
        <v>136</v>
      </c>
      <c r="G31" s="2" t="s">
        <v>141</v>
      </c>
      <c r="H31" s="2" t="s">
        <v>137</v>
      </c>
      <c r="I31" s="2" t="s">
        <v>141</v>
      </c>
      <c r="J31" s="2" t="s">
        <v>138</v>
      </c>
      <c r="K31" s="31"/>
      <c r="L31" s="31"/>
    </row>
    <row r="32" spans="1:15" x14ac:dyDescent="0.3">
      <c r="A32" s="33">
        <v>1</v>
      </c>
      <c r="B32" s="12" t="s">
        <v>43</v>
      </c>
      <c r="C32" s="90" t="s">
        <v>40</v>
      </c>
      <c r="D32" s="13" t="s">
        <v>41</v>
      </c>
      <c r="E32" s="13">
        <f>INPC!AX2</f>
        <v>124.598</v>
      </c>
      <c r="F32" s="28">
        <f>TRUNC((E32/E33),4)</f>
        <v>1.0745</v>
      </c>
      <c r="G32" s="28">
        <f>$E$24*($K$24/12)*A32</f>
        <v>533.94999999999993</v>
      </c>
      <c r="H32" s="12">
        <f>ROUND((F32*G32),2)</f>
        <v>573.73</v>
      </c>
      <c r="I32" s="28">
        <f>$E$26*($K$24/12)*A32</f>
        <v>966.05</v>
      </c>
      <c r="J32" s="35">
        <f>ROUND((I32*F32),2)</f>
        <v>1038.02</v>
      </c>
      <c r="K32" s="31"/>
      <c r="L32" s="31"/>
    </row>
    <row r="33" spans="1:12" x14ac:dyDescent="0.3">
      <c r="A33" s="33">
        <v>2</v>
      </c>
      <c r="B33" s="12" t="s">
        <v>44</v>
      </c>
      <c r="C33" s="90"/>
      <c r="D33" s="12" t="s">
        <v>42</v>
      </c>
      <c r="E33" s="12">
        <f>INPC!AV2</f>
        <v>115.95399999999999</v>
      </c>
      <c r="F33" s="28">
        <f>F32</f>
        <v>1.0745</v>
      </c>
      <c r="G33" s="28">
        <f t="shared" ref="G33:G43" si="20">$E$24*($K$24/12)*A33</f>
        <v>1067.8999999999999</v>
      </c>
      <c r="H33" s="12">
        <f t="shared" ref="H33:H35" si="21">ROUND((F33*G33),2)</f>
        <v>1147.46</v>
      </c>
      <c r="I33" s="28">
        <f t="shared" ref="I33:I36" si="22">$E$26*($K$24/12)*A33</f>
        <v>1932.1</v>
      </c>
      <c r="J33" s="35">
        <f t="shared" ref="J33:J36" si="23">ROUND((I33*F33),2)</f>
        <v>2076.04</v>
      </c>
      <c r="K33" s="31"/>
      <c r="L33" s="31"/>
    </row>
    <row r="34" spans="1:12" x14ac:dyDescent="0.3">
      <c r="A34" s="33">
        <v>3</v>
      </c>
      <c r="B34" s="12" t="s">
        <v>45</v>
      </c>
      <c r="C34" s="12"/>
      <c r="D34" s="12"/>
      <c r="E34" s="12"/>
      <c r="F34" s="12">
        <f>F33</f>
        <v>1.0745</v>
      </c>
      <c r="G34" s="28">
        <f t="shared" si="20"/>
        <v>1601.85</v>
      </c>
      <c r="H34" s="12">
        <f t="shared" si="21"/>
        <v>1721.19</v>
      </c>
      <c r="I34" s="28">
        <f>$E$26*($K$24/12)*A34</f>
        <v>2898.1499999999996</v>
      </c>
      <c r="J34" s="35">
        <f t="shared" si="23"/>
        <v>3114.06</v>
      </c>
      <c r="K34" s="31"/>
      <c r="L34" s="31"/>
    </row>
    <row r="35" spans="1:12" x14ac:dyDescent="0.3">
      <c r="A35" s="34">
        <v>4</v>
      </c>
      <c r="B35" s="26" t="s">
        <v>46</v>
      </c>
      <c r="C35" s="88" t="s">
        <v>40</v>
      </c>
      <c r="D35" s="27" t="s">
        <v>135</v>
      </c>
      <c r="E35" s="27">
        <f>INPC!AX3</f>
        <v>125.318</v>
      </c>
      <c r="F35" s="29">
        <f>TRUNC((E35/E36),4)</f>
        <v>1.0807</v>
      </c>
      <c r="G35" s="29">
        <f t="shared" si="20"/>
        <v>2135.7999999999997</v>
      </c>
      <c r="H35" s="26">
        <f t="shared" si="21"/>
        <v>2308.16</v>
      </c>
      <c r="I35" s="29">
        <f t="shared" si="22"/>
        <v>3864.2</v>
      </c>
      <c r="J35" s="36">
        <f t="shared" si="23"/>
        <v>4176.04</v>
      </c>
      <c r="K35" s="31"/>
      <c r="L35" s="31"/>
    </row>
    <row r="36" spans="1:12" x14ac:dyDescent="0.3">
      <c r="A36" s="34">
        <v>5</v>
      </c>
      <c r="B36" s="26" t="s">
        <v>47</v>
      </c>
      <c r="C36" s="88"/>
      <c r="D36" s="26" t="s">
        <v>42</v>
      </c>
      <c r="E36" s="26">
        <f>E33</f>
        <v>115.95399999999999</v>
      </c>
      <c r="F36" s="29">
        <f>F35</f>
        <v>1.0807</v>
      </c>
      <c r="G36" s="29">
        <f t="shared" si="20"/>
        <v>2669.7499999999995</v>
      </c>
      <c r="H36" s="26">
        <f>ROUND((F36*G36),2)</f>
        <v>2885.2</v>
      </c>
      <c r="I36" s="29">
        <f t="shared" si="22"/>
        <v>4830.25</v>
      </c>
      <c r="J36" s="36">
        <f t="shared" si="23"/>
        <v>5220.05</v>
      </c>
      <c r="K36" s="31"/>
      <c r="L36" s="31"/>
    </row>
    <row r="37" spans="1:12" x14ac:dyDescent="0.3">
      <c r="A37" s="30">
        <v>6</v>
      </c>
      <c r="B37" s="1" t="s">
        <v>48</v>
      </c>
      <c r="G37" s="28">
        <f t="shared" si="20"/>
        <v>3203.7</v>
      </c>
      <c r="J37" s="32"/>
    </row>
    <row r="38" spans="1:12" x14ac:dyDescent="0.3">
      <c r="A38" s="30">
        <v>7</v>
      </c>
      <c r="B38" s="1" t="s">
        <v>49</v>
      </c>
      <c r="G38" s="28">
        <f t="shared" si="20"/>
        <v>3737.6499999999996</v>
      </c>
    </row>
    <row r="39" spans="1:12" x14ac:dyDescent="0.3">
      <c r="A39" s="30">
        <v>8</v>
      </c>
      <c r="B39" s="1" t="s">
        <v>50</v>
      </c>
      <c r="G39" s="28">
        <f t="shared" si="20"/>
        <v>4271.5999999999995</v>
      </c>
    </row>
    <row r="40" spans="1:12" x14ac:dyDescent="0.3">
      <c r="A40" s="30">
        <v>9</v>
      </c>
      <c r="B40" s="1" t="s">
        <v>51</v>
      </c>
      <c r="G40" s="28">
        <f t="shared" si="20"/>
        <v>4805.5499999999993</v>
      </c>
    </row>
    <row r="41" spans="1:12" x14ac:dyDescent="0.3">
      <c r="A41" s="30">
        <v>10</v>
      </c>
      <c r="B41" s="1" t="s">
        <v>52</v>
      </c>
      <c r="G41" s="28">
        <f t="shared" si="20"/>
        <v>5339.4999999999991</v>
      </c>
    </row>
    <row r="42" spans="1:12" x14ac:dyDescent="0.3">
      <c r="A42" s="30">
        <v>11</v>
      </c>
      <c r="B42" s="1" t="s">
        <v>53</v>
      </c>
      <c r="G42" s="28">
        <f t="shared" si="20"/>
        <v>5873.4499999999989</v>
      </c>
    </row>
    <row r="43" spans="1:12" x14ac:dyDescent="0.3">
      <c r="A43" s="30">
        <v>12</v>
      </c>
      <c r="B43" s="1" t="s">
        <v>54</v>
      </c>
      <c r="G43" s="28">
        <f t="shared" si="20"/>
        <v>6407.4</v>
      </c>
    </row>
  </sheetData>
  <mergeCells count="10">
    <mergeCell ref="C35:C36"/>
    <mergeCell ref="D3:G3"/>
    <mergeCell ref="H3:L3"/>
    <mergeCell ref="D13:G13"/>
    <mergeCell ref="H13:L13"/>
    <mergeCell ref="C32:C33"/>
    <mergeCell ref="C29:C30"/>
    <mergeCell ref="D29:G29"/>
    <mergeCell ref="D30:G30"/>
    <mergeCell ref="C31:D3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9"/>
  <sheetViews>
    <sheetView workbookViewId="0">
      <selection activeCell="D7" sqref="D7"/>
    </sheetView>
  </sheetViews>
  <sheetFormatPr baseColWidth="10" defaultRowHeight="14.4" x14ac:dyDescent="0.3"/>
  <cols>
    <col min="1" max="1" width="4.33203125" style="30" bestFit="1" customWidth="1"/>
    <col min="2" max="2" width="11.5546875" style="1"/>
    <col min="3" max="3" width="13.109375" style="1" bestFit="1" customWidth="1"/>
    <col min="4" max="4" width="18.109375" style="1" bestFit="1" customWidth="1"/>
    <col min="5" max="6" width="11.5546875" style="1"/>
    <col min="7" max="7" width="13.77734375" style="1" customWidth="1"/>
    <col min="8" max="8" width="15.5546875" style="1" customWidth="1"/>
    <col min="9" max="9" width="13.5546875" style="1" customWidth="1"/>
    <col min="10" max="10" width="12.6640625" style="1" bestFit="1" customWidth="1"/>
    <col min="11" max="14" width="11.5546875" style="1"/>
    <col min="15" max="15" width="13.109375" style="1" bestFit="1" customWidth="1"/>
    <col min="16" max="16" width="18.109375" style="1" bestFit="1" customWidth="1"/>
    <col min="17" max="16384" width="11.5546875" style="1"/>
  </cols>
  <sheetData>
    <row r="3" spans="3:14" x14ac:dyDescent="0.3">
      <c r="C3" s="7"/>
      <c r="D3" s="89" t="s">
        <v>14</v>
      </c>
      <c r="E3" s="89"/>
      <c r="F3" s="89"/>
      <c r="G3" s="89"/>
      <c r="H3" s="89" t="s">
        <v>13</v>
      </c>
      <c r="I3" s="89"/>
      <c r="J3" s="89"/>
      <c r="K3" s="89"/>
      <c r="L3" s="89"/>
      <c r="M3" s="8"/>
      <c r="N3" s="1" t="s">
        <v>37</v>
      </c>
    </row>
    <row r="4" spans="3:14" ht="28.2" customHeight="1" x14ac:dyDescent="0.3">
      <c r="C4" s="80"/>
      <c r="D4" s="4" t="s">
        <v>8</v>
      </c>
      <c r="E4" s="4" t="s">
        <v>5</v>
      </c>
      <c r="F4" s="4" t="s">
        <v>6</v>
      </c>
      <c r="G4" s="4" t="s">
        <v>7</v>
      </c>
      <c r="H4" s="4" t="s">
        <v>9</v>
      </c>
      <c r="I4" s="4" t="s">
        <v>10</v>
      </c>
      <c r="J4" s="4" t="s">
        <v>188</v>
      </c>
      <c r="K4" s="4" t="s">
        <v>12</v>
      </c>
      <c r="L4" s="4" t="s">
        <v>5</v>
      </c>
      <c r="M4" s="4" t="s">
        <v>15</v>
      </c>
      <c r="N4" s="1" t="s">
        <v>38</v>
      </c>
    </row>
    <row r="5" spans="3:14" x14ac:dyDescent="0.3">
      <c r="C5" s="8" t="s">
        <v>0</v>
      </c>
      <c r="D5" s="7">
        <v>450981</v>
      </c>
      <c r="E5" s="7">
        <f>ROUND((D5*0.16),2)</f>
        <v>72156.960000000006</v>
      </c>
      <c r="F5" s="7">
        <f t="shared" ref="F5:F15" si="0">ROUND((E5*(0.666666666666667)),2)</f>
        <v>48104.639999999999</v>
      </c>
      <c r="G5" s="7">
        <f>+D5*0.1</f>
        <v>45098.100000000006</v>
      </c>
      <c r="H5" s="7">
        <f>ROUND((D5*0.3),2)</f>
        <v>135294.29999999999</v>
      </c>
      <c r="I5" s="7">
        <f>ROUND((D5*0.02),2)</f>
        <v>9019.6200000000008</v>
      </c>
      <c r="J5" s="7">
        <v>46821</v>
      </c>
      <c r="K5" s="7">
        <f>ROUND((D6*0.12),2)</f>
        <v>52424.639999999999</v>
      </c>
      <c r="L5" s="7">
        <f>(H5+I5+K5)*0.16</f>
        <v>31478.169600000001</v>
      </c>
      <c r="M5" s="7">
        <f>+Cédula!B48</f>
        <v>18281</v>
      </c>
      <c r="N5" s="1">
        <f>+E5-F5-L5</f>
        <v>-7425.8495999999941</v>
      </c>
    </row>
    <row r="6" spans="3:14" x14ac:dyDescent="0.3">
      <c r="C6" s="8" t="s">
        <v>1</v>
      </c>
      <c r="D6" s="7">
        <v>436872</v>
      </c>
      <c r="E6" s="7">
        <f t="shared" ref="E6:E9" si="1">ROUND((D6*0.16),2)</f>
        <v>69899.520000000004</v>
      </c>
      <c r="F6" s="7">
        <f t="shared" si="0"/>
        <v>46599.68</v>
      </c>
      <c r="G6" s="7">
        <f t="shared" ref="G6:G9" si="2">+D6*0.1</f>
        <v>43687.200000000004</v>
      </c>
      <c r="H6" s="7">
        <f t="shared" ref="H6:H9" si="3">ROUND((D6*0.3),2)</f>
        <v>131061.6</v>
      </c>
      <c r="I6" s="7">
        <f t="shared" ref="I6:I9" si="4">ROUND((D6*0.02),2)</f>
        <v>8737.44</v>
      </c>
      <c r="J6" s="7">
        <v>46821</v>
      </c>
      <c r="K6" s="7">
        <f t="shared" ref="K6:K15" si="5">ROUND((D7*0.12),2)</f>
        <v>98659.92</v>
      </c>
      <c r="L6" s="7">
        <f t="shared" ref="L6:L9" si="6">(H6+I6+K6)*0.16</f>
        <v>38153.433600000004</v>
      </c>
      <c r="M6" s="7">
        <f>+Cédula!C48</f>
        <v>711</v>
      </c>
      <c r="N6" s="1">
        <f t="shared" ref="N6:N16" si="7">+E6-F6-L6</f>
        <v>-14853.5936</v>
      </c>
    </row>
    <row r="7" spans="3:14" x14ac:dyDescent="0.3">
      <c r="C7" s="8" t="s">
        <v>2</v>
      </c>
      <c r="D7" s="7">
        <v>822166</v>
      </c>
      <c r="E7" s="7">
        <f t="shared" si="1"/>
        <v>131546.56</v>
      </c>
      <c r="F7" s="7">
        <f t="shared" si="0"/>
        <v>87697.71</v>
      </c>
      <c r="G7" s="7">
        <f t="shared" si="2"/>
        <v>82216.600000000006</v>
      </c>
      <c r="H7" s="7">
        <f t="shared" si="3"/>
        <v>246649.8</v>
      </c>
      <c r="I7" s="7">
        <f t="shared" si="4"/>
        <v>16443.32</v>
      </c>
      <c r="J7" s="7">
        <v>46821</v>
      </c>
      <c r="K7" s="7">
        <f t="shared" si="5"/>
        <v>72184.08</v>
      </c>
      <c r="L7" s="7">
        <f t="shared" si="6"/>
        <v>53644.352000000006</v>
      </c>
      <c r="M7" s="7"/>
      <c r="N7" s="1">
        <f t="shared" si="7"/>
        <v>-9795.502000000015</v>
      </c>
    </row>
    <row r="8" spans="3:14" x14ac:dyDescent="0.3">
      <c r="C8" s="8" t="s">
        <v>3</v>
      </c>
      <c r="D8" s="7">
        <v>601534</v>
      </c>
      <c r="E8" s="7">
        <f>ROUND((D8*0.16),2)</f>
        <v>96245.440000000002</v>
      </c>
      <c r="F8" s="7">
        <f t="shared" si="0"/>
        <v>64163.63</v>
      </c>
      <c r="G8" s="7">
        <f t="shared" si="2"/>
        <v>60153.4</v>
      </c>
      <c r="H8" s="7">
        <f t="shared" si="3"/>
        <v>180460.2</v>
      </c>
      <c r="I8" s="7">
        <f t="shared" si="4"/>
        <v>12030.68</v>
      </c>
      <c r="J8" s="7">
        <v>46821</v>
      </c>
      <c r="K8" s="7">
        <f t="shared" si="5"/>
        <v>36709.32</v>
      </c>
      <c r="L8" s="7">
        <f>(H8+I8+K8)*0.16</f>
        <v>36672.031999999999</v>
      </c>
      <c r="M8" s="7"/>
      <c r="N8" s="1">
        <f t="shared" si="7"/>
        <v>-4590.2219999999943</v>
      </c>
    </row>
    <row r="9" spans="3:14" x14ac:dyDescent="0.3">
      <c r="C9" s="8" t="s">
        <v>4</v>
      </c>
      <c r="D9" s="7">
        <v>305911</v>
      </c>
      <c r="E9" s="7">
        <f t="shared" si="1"/>
        <v>48945.760000000002</v>
      </c>
      <c r="F9" s="7">
        <f t="shared" si="0"/>
        <v>32630.51</v>
      </c>
      <c r="G9" s="7">
        <f t="shared" si="2"/>
        <v>30591.100000000002</v>
      </c>
      <c r="H9" s="7">
        <f t="shared" si="3"/>
        <v>91773.3</v>
      </c>
      <c r="I9" s="7">
        <f t="shared" si="4"/>
        <v>6118.22</v>
      </c>
      <c r="J9" s="7">
        <v>46821</v>
      </c>
      <c r="K9" s="7">
        <f t="shared" si="5"/>
        <v>58301.93</v>
      </c>
      <c r="L9" s="7">
        <f t="shared" si="6"/>
        <v>24990.952000000001</v>
      </c>
      <c r="M9" s="7"/>
      <c r="N9" s="1">
        <f t="shared" si="7"/>
        <v>-8675.7019999999975</v>
      </c>
    </row>
    <row r="10" spans="3:14" x14ac:dyDescent="0.3">
      <c r="C10" s="8" t="s">
        <v>113</v>
      </c>
      <c r="D10" s="7">
        <v>485849.4</v>
      </c>
      <c r="E10" s="7">
        <f t="shared" ref="E10:E16" si="8">ROUND((D10*0.16),2)</f>
        <v>77735.899999999994</v>
      </c>
      <c r="F10" s="7">
        <f t="shared" si="0"/>
        <v>51823.93</v>
      </c>
      <c r="G10" s="7">
        <f t="shared" ref="G10:G16" si="9">+D10*0.1</f>
        <v>48584.94</v>
      </c>
      <c r="H10" s="7">
        <f t="shared" ref="H10:H16" si="10">ROUND((D10*0.3),2)</f>
        <v>145754.82</v>
      </c>
      <c r="I10" s="7">
        <f t="shared" ref="I10:I16" si="11">ROUND((D10*0.02),2)</f>
        <v>9716.99</v>
      </c>
      <c r="J10" s="7">
        <v>46821</v>
      </c>
      <c r="K10" s="7">
        <f t="shared" si="5"/>
        <v>56796.19</v>
      </c>
      <c r="L10" s="7">
        <f t="shared" ref="L10:L16" si="12">(H10+I10+K10)*0.16</f>
        <v>33962.879999999997</v>
      </c>
      <c r="M10" s="7"/>
      <c r="N10" s="1">
        <f t="shared" si="7"/>
        <v>-8050.9100000000035</v>
      </c>
    </row>
    <row r="11" spans="3:14" x14ac:dyDescent="0.3">
      <c r="C11" s="8" t="s">
        <v>115</v>
      </c>
      <c r="D11" s="7">
        <v>473301.6</v>
      </c>
      <c r="E11" s="7">
        <f t="shared" si="8"/>
        <v>75728.259999999995</v>
      </c>
      <c r="F11" s="7">
        <f t="shared" si="0"/>
        <v>50485.51</v>
      </c>
      <c r="G11" s="7">
        <f t="shared" si="9"/>
        <v>47330.16</v>
      </c>
      <c r="H11" s="7">
        <f t="shared" si="10"/>
        <v>141990.48000000001</v>
      </c>
      <c r="I11" s="7">
        <f t="shared" si="11"/>
        <v>9466.0300000000007</v>
      </c>
      <c r="J11" s="7">
        <v>46821</v>
      </c>
      <c r="K11" s="7">
        <f t="shared" si="5"/>
        <v>55290.46</v>
      </c>
      <c r="L11" s="7">
        <f t="shared" si="12"/>
        <v>33079.515200000002</v>
      </c>
      <c r="M11" s="7"/>
      <c r="N11" s="1">
        <f t="shared" si="7"/>
        <v>-7836.7652000000089</v>
      </c>
    </row>
    <row r="12" spans="3:14" x14ac:dyDescent="0.3">
      <c r="C12" s="8" t="s">
        <v>119</v>
      </c>
      <c r="D12" s="7">
        <v>460753.8</v>
      </c>
      <c r="E12" s="7">
        <f t="shared" si="8"/>
        <v>73720.61</v>
      </c>
      <c r="F12" s="7">
        <f t="shared" si="0"/>
        <v>49147.07</v>
      </c>
      <c r="G12" s="7">
        <f t="shared" si="9"/>
        <v>46075.380000000005</v>
      </c>
      <c r="H12" s="7">
        <f t="shared" si="10"/>
        <v>138226.14000000001</v>
      </c>
      <c r="I12" s="7">
        <f t="shared" si="11"/>
        <v>9215.08</v>
      </c>
      <c r="J12" s="7">
        <v>46821</v>
      </c>
      <c r="K12" s="7">
        <f t="shared" si="5"/>
        <v>53784.72</v>
      </c>
      <c r="L12" s="7">
        <f t="shared" si="12"/>
        <v>32196.150400000002</v>
      </c>
      <c r="M12" s="7"/>
      <c r="N12" s="1">
        <f t="shared" si="7"/>
        <v>-7622.6104000000014</v>
      </c>
    </row>
    <row r="13" spans="3:14" x14ac:dyDescent="0.3">
      <c r="C13" s="8" t="s">
        <v>124</v>
      </c>
      <c r="D13" s="7">
        <v>448206</v>
      </c>
      <c r="E13" s="7">
        <f t="shared" si="8"/>
        <v>71712.960000000006</v>
      </c>
      <c r="F13" s="7">
        <f t="shared" si="0"/>
        <v>47808.639999999999</v>
      </c>
      <c r="G13" s="7">
        <f t="shared" si="9"/>
        <v>44820.600000000006</v>
      </c>
      <c r="H13" s="7">
        <f t="shared" si="10"/>
        <v>134461.79999999999</v>
      </c>
      <c r="I13" s="7">
        <f t="shared" si="11"/>
        <v>8964.1200000000008</v>
      </c>
      <c r="J13" s="7">
        <v>46821</v>
      </c>
      <c r="K13" s="7">
        <f t="shared" si="5"/>
        <v>52278.98</v>
      </c>
      <c r="L13" s="7">
        <f t="shared" si="12"/>
        <v>31312.784</v>
      </c>
      <c r="M13" s="7"/>
      <c r="N13" s="1">
        <f t="shared" si="7"/>
        <v>-7408.4639999999927</v>
      </c>
    </row>
    <row r="14" spans="3:14" x14ac:dyDescent="0.3">
      <c r="C14" s="8" t="s">
        <v>127</v>
      </c>
      <c r="D14" s="7">
        <v>435658.2</v>
      </c>
      <c r="E14" s="7">
        <f t="shared" si="8"/>
        <v>69705.31</v>
      </c>
      <c r="F14" s="7">
        <f t="shared" si="0"/>
        <v>46470.21</v>
      </c>
      <c r="G14" s="7">
        <f t="shared" si="9"/>
        <v>43565.820000000007</v>
      </c>
      <c r="H14" s="7">
        <f t="shared" si="10"/>
        <v>130697.46</v>
      </c>
      <c r="I14" s="7">
        <f t="shared" si="11"/>
        <v>8713.16</v>
      </c>
      <c r="J14" s="7">
        <v>46821</v>
      </c>
      <c r="K14" s="7">
        <f t="shared" si="5"/>
        <v>50773.25</v>
      </c>
      <c r="L14" s="7">
        <f t="shared" si="12"/>
        <v>30429.4192</v>
      </c>
      <c r="M14" s="7"/>
      <c r="N14" s="1">
        <f t="shared" si="7"/>
        <v>-7194.3192000000017</v>
      </c>
    </row>
    <row r="15" spans="3:14" x14ac:dyDescent="0.3">
      <c r="C15" s="8" t="s">
        <v>129</v>
      </c>
      <c r="D15" s="7">
        <v>423110.40000000002</v>
      </c>
      <c r="E15" s="7">
        <f t="shared" si="8"/>
        <v>67697.66</v>
      </c>
      <c r="F15" s="7">
        <f t="shared" si="0"/>
        <v>45131.77</v>
      </c>
      <c r="G15" s="7">
        <f t="shared" si="9"/>
        <v>42311.040000000008</v>
      </c>
      <c r="H15" s="7">
        <f t="shared" si="10"/>
        <v>126933.12</v>
      </c>
      <c r="I15" s="7">
        <f t="shared" si="11"/>
        <v>8462.2099999999991</v>
      </c>
      <c r="J15" s="7">
        <v>46821</v>
      </c>
      <c r="K15" s="7">
        <f t="shared" si="5"/>
        <v>49267.51</v>
      </c>
      <c r="L15" s="7">
        <f t="shared" si="12"/>
        <v>29546.054400000001</v>
      </c>
      <c r="M15" s="7"/>
      <c r="N15" s="1">
        <f t="shared" si="7"/>
        <v>-6980.1643999999942</v>
      </c>
    </row>
    <row r="16" spans="3:14" x14ac:dyDescent="0.3">
      <c r="C16" s="8" t="s">
        <v>130</v>
      </c>
      <c r="D16" s="7">
        <v>410562.6</v>
      </c>
      <c r="E16" s="7">
        <f t="shared" si="8"/>
        <v>65690.02</v>
      </c>
      <c r="F16" s="7">
        <f>ROUND((E16*(0.666666666666667)),2)</f>
        <v>43793.35</v>
      </c>
      <c r="G16" s="7">
        <f t="shared" si="9"/>
        <v>41056.26</v>
      </c>
      <c r="H16" s="7">
        <f t="shared" si="10"/>
        <v>123168.78</v>
      </c>
      <c r="I16" s="7">
        <f t="shared" si="11"/>
        <v>8211.25</v>
      </c>
      <c r="J16" s="7">
        <v>46821</v>
      </c>
      <c r="K16" s="7">
        <v>15000</v>
      </c>
      <c r="L16" s="7">
        <f t="shared" si="12"/>
        <v>23420.804800000002</v>
      </c>
      <c r="M16" s="7"/>
      <c r="N16" s="1">
        <f t="shared" si="7"/>
        <v>-1524.1347999999962</v>
      </c>
    </row>
    <row r="18" spans="1:15" ht="45.6" customHeight="1" x14ac:dyDescent="0.3">
      <c r="B18" s="5"/>
      <c r="C18" s="3" t="s">
        <v>16</v>
      </c>
      <c r="D18" s="3" t="s">
        <v>17</v>
      </c>
      <c r="E18" s="3" t="s">
        <v>21</v>
      </c>
      <c r="F18" s="3" t="s">
        <v>5</v>
      </c>
      <c r="G18" s="3" t="s">
        <v>22</v>
      </c>
      <c r="H18" s="4" t="s">
        <v>23</v>
      </c>
      <c r="I18" s="5" t="s">
        <v>5</v>
      </c>
      <c r="J18" s="5" t="s">
        <v>22</v>
      </c>
      <c r="K18" s="5" t="s">
        <v>27</v>
      </c>
      <c r="L18" s="9"/>
      <c r="M18" s="9"/>
      <c r="N18" s="9"/>
      <c r="O18" s="9"/>
    </row>
    <row r="19" spans="1:15" x14ac:dyDescent="0.3">
      <c r="B19" s="7" t="s">
        <v>139</v>
      </c>
      <c r="C19" s="6">
        <v>42024</v>
      </c>
      <c r="D19" s="7" t="s">
        <v>18</v>
      </c>
      <c r="E19" s="7">
        <v>21358</v>
      </c>
      <c r="F19" s="7">
        <f>E19*0.16</f>
        <v>3417.28</v>
      </c>
      <c r="G19" s="7">
        <f>+E19+F19</f>
        <v>24775.279999999999</v>
      </c>
      <c r="H19" s="7">
        <f>+E19*0.15</f>
        <v>3203.7</v>
      </c>
      <c r="I19" s="7">
        <f t="shared" ref="I19:I21" si="13">H19*0.16</f>
        <v>512.59199999999998</v>
      </c>
      <c r="J19" s="7">
        <f t="shared" ref="J19:J21" si="14">+H19+I19</f>
        <v>3716.2919999999999</v>
      </c>
      <c r="K19" s="7">
        <v>0.3</v>
      </c>
    </row>
    <row r="20" spans="1:15" x14ac:dyDescent="0.3">
      <c r="B20" s="7"/>
      <c r="C20" s="6">
        <v>40834</v>
      </c>
      <c r="D20" s="7" t="s">
        <v>20</v>
      </c>
      <c r="E20" s="7">
        <v>215467</v>
      </c>
      <c r="F20" s="7">
        <f t="shared" ref="F20:F21" si="15">E20*0.16</f>
        <v>34474.720000000001</v>
      </c>
      <c r="G20" s="7">
        <f t="shared" ref="G20:G21" si="16">+E20+F20</f>
        <v>249941.72</v>
      </c>
      <c r="H20" s="7"/>
      <c r="I20" s="7"/>
      <c r="J20" s="7"/>
      <c r="K20" s="7">
        <v>0.25</v>
      </c>
    </row>
    <row r="21" spans="1:15" x14ac:dyDescent="0.3">
      <c r="B21" s="7" t="s">
        <v>140</v>
      </c>
      <c r="C21" s="6">
        <v>42033</v>
      </c>
      <c r="D21" s="7" t="s">
        <v>19</v>
      </c>
      <c r="E21" s="7">
        <v>38642</v>
      </c>
      <c r="F21" s="7">
        <f t="shared" si="15"/>
        <v>6182.72</v>
      </c>
      <c r="G21" s="7">
        <f t="shared" si="16"/>
        <v>44824.72</v>
      </c>
      <c r="H21" s="7">
        <f>+E21*0.15</f>
        <v>5796.3</v>
      </c>
      <c r="I21" s="7">
        <f t="shared" si="13"/>
        <v>927.40800000000002</v>
      </c>
      <c r="J21" s="7">
        <f t="shared" si="14"/>
        <v>6723.7080000000005</v>
      </c>
      <c r="K21" s="7">
        <v>0.3</v>
      </c>
    </row>
    <row r="23" spans="1:15" ht="15" thickBot="1" x14ac:dyDescent="0.35">
      <c r="C23" s="2" t="s">
        <v>39</v>
      </c>
    </row>
    <row r="24" spans="1:15" ht="15.6" x14ac:dyDescent="0.3">
      <c r="C24" s="91" t="s">
        <v>40</v>
      </c>
      <c r="D24" s="93" t="s">
        <v>133</v>
      </c>
      <c r="E24" s="93"/>
      <c r="F24" s="93"/>
      <c r="G24" s="94"/>
      <c r="I24" s="31"/>
      <c r="J24" s="31"/>
      <c r="K24" s="31"/>
      <c r="L24" s="31"/>
    </row>
    <row r="25" spans="1:15" ht="16.2" thickBot="1" x14ac:dyDescent="0.35">
      <c r="C25" s="92"/>
      <c r="D25" s="95" t="s">
        <v>134</v>
      </c>
      <c r="E25" s="95"/>
      <c r="F25" s="95"/>
      <c r="G25" s="96"/>
      <c r="I25" s="31"/>
      <c r="J25" s="31"/>
      <c r="K25" s="31"/>
      <c r="L25" s="31"/>
    </row>
    <row r="26" spans="1:15" x14ac:dyDescent="0.3">
      <c r="A26" s="37"/>
      <c r="B26" s="2" t="s">
        <v>144</v>
      </c>
      <c r="C26" s="97" t="s">
        <v>142</v>
      </c>
      <c r="D26" s="97"/>
      <c r="E26" s="2" t="s">
        <v>143</v>
      </c>
      <c r="F26" s="2" t="s">
        <v>136</v>
      </c>
      <c r="G26" s="2" t="s">
        <v>141</v>
      </c>
      <c r="H26" s="2" t="s">
        <v>137</v>
      </c>
      <c r="I26" s="2" t="s">
        <v>141</v>
      </c>
      <c r="J26" s="2" t="s">
        <v>138</v>
      </c>
      <c r="K26" s="31"/>
      <c r="L26" s="31"/>
    </row>
    <row r="27" spans="1:15" x14ac:dyDescent="0.3">
      <c r="A27" s="70">
        <v>1</v>
      </c>
      <c r="B27" s="53" t="s">
        <v>43</v>
      </c>
      <c r="C27" s="90" t="s">
        <v>40</v>
      </c>
      <c r="D27" s="13" t="s">
        <v>41</v>
      </c>
      <c r="E27" s="72">
        <f>INPC!AX2</f>
        <v>124.598</v>
      </c>
      <c r="F27" s="76">
        <f>TRUNC((E27/E28),4)</f>
        <v>1.0745</v>
      </c>
      <c r="G27" s="28">
        <f>$E$19*($K$19/12)*A27</f>
        <v>533.94999999999993</v>
      </c>
      <c r="H27" s="12">
        <f>ROUND((F27*G27),2)</f>
        <v>573.73</v>
      </c>
      <c r="I27" s="28">
        <f t="shared" ref="I27:I38" si="17">$E$21*($K$19/12)*A27</f>
        <v>966.05</v>
      </c>
      <c r="J27" s="78">
        <f>ROUND((I27*F27),2)</f>
        <v>1038.02</v>
      </c>
      <c r="K27" s="31"/>
      <c r="L27" s="31"/>
    </row>
    <row r="28" spans="1:15" x14ac:dyDescent="0.3">
      <c r="A28" s="70">
        <v>2</v>
      </c>
      <c r="B28" s="53" t="s">
        <v>44</v>
      </c>
      <c r="C28" s="90"/>
      <c r="D28" s="12" t="s">
        <v>42</v>
      </c>
      <c r="E28" s="73">
        <f>INPC!AV2</f>
        <v>115.95399999999999</v>
      </c>
      <c r="F28" s="76">
        <f>F27</f>
        <v>1.0745</v>
      </c>
      <c r="G28" s="28">
        <f t="shared" ref="G28:G38" si="18">$E$19*($K$19/12)*A28</f>
        <v>1067.8999999999999</v>
      </c>
      <c r="H28" s="12">
        <f t="shared" ref="H28:H30" si="19">ROUND((F28*G28),2)</f>
        <v>1147.46</v>
      </c>
      <c r="I28" s="28">
        <f t="shared" si="17"/>
        <v>1932.1</v>
      </c>
      <c r="J28" s="78">
        <f t="shared" ref="J28:J30" si="20">ROUND((I28*F28),2)</f>
        <v>2076.04</v>
      </c>
      <c r="K28" s="31"/>
      <c r="L28" s="31"/>
    </row>
    <row r="29" spans="1:15" x14ac:dyDescent="0.3">
      <c r="A29" s="70">
        <v>3</v>
      </c>
      <c r="B29" s="53" t="s">
        <v>45</v>
      </c>
      <c r="C29" s="12"/>
      <c r="D29" s="12"/>
      <c r="E29" s="73"/>
      <c r="F29" s="73">
        <f>F28</f>
        <v>1.0745</v>
      </c>
      <c r="G29" s="28">
        <f t="shared" si="18"/>
        <v>1601.85</v>
      </c>
      <c r="H29" s="12">
        <f t="shared" si="19"/>
        <v>1721.19</v>
      </c>
      <c r="I29" s="28">
        <f t="shared" si="17"/>
        <v>2898.1499999999996</v>
      </c>
      <c r="J29" s="78">
        <f t="shared" si="20"/>
        <v>3114.06</v>
      </c>
      <c r="K29" s="31"/>
      <c r="L29" s="31"/>
    </row>
    <row r="30" spans="1:15" x14ac:dyDescent="0.3">
      <c r="A30" s="71">
        <v>4</v>
      </c>
      <c r="B30" s="52" t="s">
        <v>46</v>
      </c>
      <c r="C30" s="98" t="s">
        <v>40</v>
      </c>
      <c r="D30" s="67" t="s">
        <v>135</v>
      </c>
      <c r="E30" s="74">
        <f>INPC!AX3</f>
        <v>125.318</v>
      </c>
      <c r="F30" s="77">
        <f>TRUNC((E30/E31),4)</f>
        <v>1.0807</v>
      </c>
      <c r="G30" s="68">
        <f t="shared" si="18"/>
        <v>2135.7999999999997</v>
      </c>
      <c r="H30" s="57">
        <f t="shared" si="19"/>
        <v>2308.16</v>
      </c>
      <c r="I30" s="68">
        <f t="shared" si="17"/>
        <v>3864.2</v>
      </c>
      <c r="J30" s="79">
        <f t="shared" si="20"/>
        <v>4176.04</v>
      </c>
      <c r="K30" s="31"/>
      <c r="L30" s="31"/>
    </row>
    <row r="31" spans="1:15" x14ac:dyDescent="0.3">
      <c r="A31" s="71">
        <v>5</v>
      </c>
      <c r="B31" s="52" t="s">
        <v>47</v>
      </c>
      <c r="C31" s="98"/>
      <c r="D31" s="57" t="s">
        <v>42</v>
      </c>
      <c r="E31" s="75">
        <f>E28</f>
        <v>115.95399999999999</v>
      </c>
      <c r="F31" s="77">
        <f>F30</f>
        <v>1.0807</v>
      </c>
      <c r="G31" s="68">
        <f t="shared" si="18"/>
        <v>2669.7499999999995</v>
      </c>
      <c r="H31" s="57">
        <f>ROUND((F31*G31),2)</f>
        <v>2885.2</v>
      </c>
      <c r="I31" s="68">
        <f t="shared" si="17"/>
        <v>4830.25</v>
      </c>
      <c r="J31" s="79">
        <f>ROUND((I31*F31),2)</f>
        <v>5220.05</v>
      </c>
      <c r="K31" s="31"/>
      <c r="L31" s="31"/>
    </row>
    <row r="32" spans="1:15" x14ac:dyDescent="0.3">
      <c r="A32" s="70">
        <v>6</v>
      </c>
      <c r="B32" s="53" t="s">
        <v>48</v>
      </c>
      <c r="C32" s="90" t="s">
        <v>40</v>
      </c>
      <c r="D32" s="13" t="s">
        <v>203</v>
      </c>
      <c r="E32" s="72">
        <f>INPC!AX4</f>
        <v>126.087</v>
      </c>
      <c r="F32" s="76">
        <f>TRUNC((E32/E33),4)</f>
        <v>1.0872999999999999</v>
      </c>
      <c r="G32" s="28">
        <f t="shared" si="18"/>
        <v>3203.7</v>
      </c>
      <c r="H32" s="12">
        <f t="shared" ref="H32:H38" si="21">ROUND((F32*G32),2)</f>
        <v>3483.38</v>
      </c>
      <c r="I32" s="28">
        <f t="shared" si="17"/>
        <v>5796.2999999999993</v>
      </c>
      <c r="J32" s="78">
        <f t="shared" ref="J32:J38" si="22">ROUND((I32*F32),2)</f>
        <v>6302.32</v>
      </c>
    </row>
    <row r="33" spans="1:10" x14ac:dyDescent="0.3">
      <c r="A33" s="70">
        <v>7</v>
      </c>
      <c r="B33" s="53" t="s">
        <v>49</v>
      </c>
      <c r="C33" s="90"/>
      <c r="D33" s="12" t="s">
        <v>42</v>
      </c>
      <c r="E33" s="73">
        <f>+E31</f>
        <v>115.95399999999999</v>
      </c>
      <c r="F33" s="73">
        <f>+F32</f>
        <v>1.0872999999999999</v>
      </c>
      <c r="G33" s="28">
        <f t="shared" si="18"/>
        <v>3737.6499999999996</v>
      </c>
      <c r="H33" s="12">
        <f t="shared" si="21"/>
        <v>4063.95</v>
      </c>
      <c r="I33" s="28">
        <f t="shared" si="17"/>
        <v>6762.3499999999995</v>
      </c>
      <c r="J33" s="78">
        <f t="shared" si="22"/>
        <v>7352.7</v>
      </c>
    </row>
    <row r="34" spans="1:10" x14ac:dyDescent="0.3">
      <c r="A34" s="71">
        <v>8</v>
      </c>
      <c r="B34" s="52" t="s">
        <v>50</v>
      </c>
      <c r="C34" s="98" t="s">
        <v>40</v>
      </c>
      <c r="D34" s="67" t="s">
        <v>204</v>
      </c>
      <c r="E34" s="74">
        <f>INPC!AX5</f>
        <v>126.242</v>
      </c>
      <c r="F34" s="77">
        <f>TRUNC((E34/E35),4)</f>
        <v>1.0887</v>
      </c>
      <c r="G34" s="68">
        <f t="shared" si="18"/>
        <v>4271.5999999999995</v>
      </c>
      <c r="H34" s="57">
        <f t="shared" si="21"/>
        <v>4650.49</v>
      </c>
      <c r="I34" s="68">
        <f t="shared" si="17"/>
        <v>7728.4</v>
      </c>
      <c r="J34" s="79">
        <f t="shared" si="22"/>
        <v>8413.91</v>
      </c>
    </row>
    <row r="35" spans="1:10" x14ac:dyDescent="0.3">
      <c r="A35" s="71">
        <v>9</v>
      </c>
      <c r="B35" s="52" t="s">
        <v>51</v>
      </c>
      <c r="C35" s="98"/>
      <c r="D35" s="57" t="s">
        <v>42</v>
      </c>
      <c r="E35" s="75">
        <f>+E33</f>
        <v>115.95399999999999</v>
      </c>
      <c r="F35" s="77">
        <f>F34</f>
        <v>1.0887</v>
      </c>
      <c r="G35" s="68">
        <f t="shared" si="18"/>
        <v>4805.5499999999993</v>
      </c>
      <c r="H35" s="57">
        <f t="shared" si="21"/>
        <v>5231.8</v>
      </c>
      <c r="I35" s="68">
        <f t="shared" si="17"/>
        <v>8694.4499999999989</v>
      </c>
      <c r="J35" s="79">
        <f t="shared" si="22"/>
        <v>9465.65</v>
      </c>
    </row>
    <row r="36" spans="1:10" x14ac:dyDescent="0.3">
      <c r="A36" s="70">
        <v>10</v>
      </c>
      <c r="B36" s="53" t="s">
        <v>52</v>
      </c>
      <c r="C36" s="90" t="s">
        <v>40</v>
      </c>
      <c r="D36" s="13" t="s">
        <v>205</v>
      </c>
      <c r="E36" s="72">
        <f>INPC!AX6</f>
        <v>126.09099999999999</v>
      </c>
      <c r="F36" s="76">
        <f>TRUNC((E36/E37),4)</f>
        <v>1.0873999999999999</v>
      </c>
      <c r="G36" s="28">
        <f t="shared" si="18"/>
        <v>5339.4999999999991</v>
      </c>
      <c r="H36" s="12">
        <f t="shared" si="21"/>
        <v>5806.17</v>
      </c>
      <c r="I36" s="28">
        <f t="shared" si="17"/>
        <v>9660.5</v>
      </c>
      <c r="J36" s="78">
        <f t="shared" si="22"/>
        <v>10504.83</v>
      </c>
    </row>
    <row r="37" spans="1:10" x14ac:dyDescent="0.3">
      <c r="A37" s="70">
        <v>11</v>
      </c>
      <c r="B37" s="53" t="s">
        <v>53</v>
      </c>
      <c r="C37" s="90"/>
      <c r="D37" s="12" t="s">
        <v>42</v>
      </c>
      <c r="E37" s="73">
        <f>+E35</f>
        <v>115.95399999999999</v>
      </c>
      <c r="F37" s="73">
        <f>+F36</f>
        <v>1.0873999999999999</v>
      </c>
      <c r="G37" s="28">
        <f t="shared" si="18"/>
        <v>5873.4499999999989</v>
      </c>
      <c r="H37" s="12">
        <f t="shared" si="21"/>
        <v>6386.79</v>
      </c>
      <c r="I37" s="28">
        <f t="shared" si="17"/>
        <v>10626.55</v>
      </c>
      <c r="J37" s="78">
        <f t="shared" si="22"/>
        <v>11555.31</v>
      </c>
    </row>
    <row r="38" spans="1:10" x14ac:dyDescent="0.3">
      <c r="A38" s="71">
        <v>12</v>
      </c>
      <c r="B38" s="52" t="s">
        <v>54</v>
      </c>
      <c r="C38" s="98" t="s">
        <v>40</v>
      </c>
      <c r="D38" s="67" t="s">
        <v>202</v>
      </c>
      <c r="E38" s="74">
        <f>INPC!AX7</f>
        <v>126.408</v>
      </c>
      <c r="F38" s="77">
        <f>TRUNC((E38/E39),4)</f>
        <v>1.0901000000000001</v>
      </c>
      <c r="G38" s="68">
        <f t="shared" si="18"/>
        <v>6407.4</v>
      </c>
      <c r="H38" s="57">
        <f t="shared" si="21"/>
        <v>6984.71</v>
      </c>
      <c r="I38" s="68">
        <f t="shared" si="17"/>
        <v>11592.599999999999</v>
      </c>
      <c r="J38" s="79">
        <f t="shared" si="22"/>
        <v>12637.09</v>
      </c>
    </row>
    <row r="39" spans="1:10" x14ac:dyDescent="0.3">
      <c r="A39" s="66"/>
      <c r="B39" s="57"/>
      <c r="C39" s="98"/>
      <c r="D39" s="57" t="s">
        <v>42</v>
      </c>
      <c r="E39" s="75">
        <f>+E37</f>
        <v>115.95399999999999</v>
      </c>
      <c r="F39" s="77"/>
      <c r="G39" s="57"/>
      <c r="H39" s="57"/>
      <c r="I39" s="68"/>
      <c r="J39" s="69"/>
    </row>
  </sheetData>
  <mergeCells count="12">
    <mergeCell ref="C38:C39"/>
    <mergeCell ref="C26:D26"/>
    <mergeCell ref="C27:C28"/>
    <mergeCell ref="C30:C31"/>
    <mergeCell ref="C32:C33"/>
    <mergeCell ref="C34:C35"/>
    <mergeCell ref="C36:C37"/>
    <mergeCell ref="D3:G3"/>
    <mergeCell ref="H3:L3"/>
    <mergeCell ref="C24:C25"/>
    <mergeCell ref="D24:G24"/>
    <mergeCell ref="D25:G2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workbookViewId="0">
      <selection activeCell="A17" sqref="A17"/>
    </sheetView>
  </sheetViews>
  <sheetFormatPr baseColWidth="10" defaultRowHeight="14.4" x14ac:dyDescent="0.3"/>
  <cols>
    <col min="4" max="4" width="0" hidden="1" customWidth="1"/>
    <col min="5" max="5" width="11.5546875" style="44"/>
  </cols>
  <sheetData>
    <row r="1" spans="1:5" x14ac:dyDescent="0.3">
      <c r="A1" s="99" t="s">
        <v>183</v>
      </c>
      <c r="B1" s="99"/>
      <c r="C1" s="99"/>
      <c r="D1" s="99"/>
      <c r="E1" s="99"/>
    </row>
    <row r="2" spans="1:5" x14ac:dyDescent="0.3">
      <c r="A2" t="s">
        <v>184</v>
      </c>
    </row>
    <row r="3" spans="1:5" x14ac:dyDescent="0.3">
      <c r="A3" t="s">
        <v>185</v>
      </c>
    </row>
    <row r="4" spans="1:5" x14ac:dyDescent="0.3">
      <c r="A4" t="s">
        <v>186</v>
      </c>
    </row>
    <row r="5" spans="1:5" x14ac:dyDescent="0.3">
      <c r="A5" t="s">
        <v>187</v>
      </c>
    </row>
    <row r="6" spans="1:5" x14ac:dyDescent="0.3">
      <c r="A6" t="s">
        <v>29</v>
      </c>
      <c r="B6" t="s">
        <v>146</v>
      </c>
      <c r="C6" t="s">
        <v>33</v>
      </c>
      <c r="E6" s="44" t="s">
        <v>147</v>
      </c>
    </row>
    <row r="7" spans="1:5" ht="15" thickBot="1" x14ac:dyDescent="0.35">
      <c r="A7" t="s">
        <v>0</v>
      </c>
      <c r="E7" s="45"/>
    </row>
    <row r="8" spans="1:5" ht="15" thickTop="1" x14ac:dyDescent="0.3">
      <c r="A8" s="38">
        <v>0.01</v>
      </c>
      <c r="B8" s="38">
        <v>496.07</v>
      </c>
      <c r="C8" s="38">
        <v>0</v>
      </c>
      <c r="D8" s="38">
        <v>1.92</v>
      </c>
      <c r="E8" s="44">
        <f>D8/100</f>
        <v>1.9199999999999998E-2</v>
      </c>
    </row>
    <row r="9" spans="1:5" x14ac:dyDescent="0.3">
      <c r="A9" s="39">
        <v>496.08</v>
      </c>
      <c r="B9" s="40">
        <v>4210.41</v>
      </c>
      <c r="C9" s="39">
        <v>9.52</v>
      </c>
      <c r="D9" s="39">
        <v>6.4</v>
      </c>
      <c r="E9" s="44">
        <f t="shared" ref="E9:E72" si="0">D9/100</f>
        <v>6.4000000000000001E-2</v>
      </c>
    </row>
    <row r="10" spans="1:5" x14ac:dyDescent="0.3">
      <c r="A10" s="40">
        <v>4210.42</v>
      </c>
      <c r="B10" s="40">
        <v>7399.42</v>
      </c>
      <c r="C10" s="39">
        <v>247.24</v>
      </c>
      <c r="D10" s="39">
        <v>10.88</v>
      </c>
      <c r="E10" s="44">
        <f t="shared" si="0"/>
        <v>0.10880000000000001</v>
      </c>
    </row>
    <row r="11" spans="1:5" x14ac:dyDescent="0.3">
      <c r="A11" s="40">
        <v>7399.43</v>
      </c>
      <c r="B11" s="40">
        <v>8601.5</v>
      </c>
      <c r="C11" s="39">
        <v>594.21</v>
      </c>
      <c r="D11" s="39">
        <v>16</v>
      </c>
      <c r="E11" s="44">
        <f t="shared" si="0"/>
        <v>0.16</v>
      </c>
    </row>
    <row r="12" spans="1:5" x14ac:dyDescent="0.3">
      <c r="A12" s="40">
        <v>8601.51</v>
      </c>
      <c r="B12" s="40">
        <v>10298.35</v>
      </c>
      <c r="C12" s="39">
        <v>786.54</v>
      </c>
      <c r="D12" s="39">
        <v>17.920000000000002</v>
      </c>
      <c r="E12" s="44">
        <f t="shared" si="0"/>
        <v>0.17920000000000003</v>
      </c>
    </row>
    <row r="13" spans="1:5" x14ac:dyDescent="0.3">
      <c r="A13" s="40">
        <v>10298.36</v>
      </c>
      <c r="B13" s="40">
        <v>20770.29</v>
      </c>
      <c r="C13" s="40">
        <v>1090.6099999999999</v>
      </c>
      <c r="D13" s="39">
        <v>21.36</v>
      </c>
      <c r="E13" s="44">
        <f t="shared" si="0"/>
        <v>0.21359999999999998</v>
      </c>
    </row>
    <row r="14" spans="1:5" x14ac:dyDescent="0.3">
      <c r="A14" s="40">
        <v>20770.3</v>
      </c>
      <c r="B14" s="40">
        <v>32736.83</v>
      </c>
      <c r="C14" s="40">
        <v>3327.42</v>
      </c>
      <c r="D14" s="39">
        <v>23.52</v>
      </c>
      <c r="E14" s="44">
        <f t="shared" si="0"/>
        <v>0.23519999999999999</v>
      </c>
    </row>
    <row r="15" spans="1:5" x14ac:dyDescent="0.3">
      <c r="A15" s="40">
        <v>32736.84</v>
      </c>
      <c r="B15" s="40">
        <v>62500</v>
      </c>
      <c r="C15" s="40">
        <v>6141.95</v>
      </c>
      <c r="D15" s="39">
        <v>30</v>
      </c>
      <c r="E15" s="44">
        <f t="shared" si="0"/>
        <v>0.3</v>
      </c>
    </row>
    <row r="16" spans="1:5" x14ac:dyDescent="0.3">
      <c r="A16" s="40">
        <v>62500.01</v>
      </c>
      <c r="B16" s="40">
        <v>83333.33</v>
      </c>
      <c r="C16" s="40">
        <v>15070.9</v>
      </c>
      <c r="D16" s="39">
        <v>32</v>
      </c>
      <c r="E16" s="44">
        <f t="shared" si="0"/>
        <v>0.32</v>
      </c>
    </row>
    <row r="17" spans="1:5" x14ac:dyDescent="0.3">
      <c r="A17" s="81">
        <v>83333.34</v>
      </c>
      <c r="B17" s="81">
        <v>250000</v>
      </c>
      <c r="C17" s="81">
        <v>21737.57</v>
      </c>
      <c r="D17" s="82">
        <v>34</v>
      </c>
      <c r="E17" s="83">
        <f t="shared" si="0"/>
        <v>0.34</v>
      </c>
    </row>
    <row r="18" spans="1:5" ht="15" thickBot="1" x14ac:dyDescent="0.35">
      <c r="A18" s="41">
        <v>250000.01</v>
      </c>
      <c r="B18" s="42" t="s">
        <v>145</v>
      </c>
      <c r="C18" s="41">
        <v>78404.23</v>
      </c>
      <c r="D18" s="42">
        <v>35</v>
      </c>
      <c r="E18" s="45">
        <f t="shared" si="0"/>
        <v>0.35</v>
      </c>
    </row>
    <row r="19" spans="1:5" ht="15.6" thickTop="1" thickBot="1" x14ac:dyDescent="0.35">
      <c r="A19" t="s">
        <v>1</v>
      </c>
      <c r="E19" s="45"/>
    </row>
    <row r="20" spans="1:5" ht="15" thickTop="1" x14ac:dyDescent="0.3">
      <c r="A20" s="38">
        <v>0.01</v>
      </c>
      <c r="B20" s="38">
        <v>992.14</v>
      </c>
      <c r="C20" s="38">
        <v>0</v>
      </c>
      <c r="D20" s="38">
        <v>1.92</v>
      </c>
      <c r="E20" s="44">
        <f t="shared" si="0"/>
        <v>1.9199999999999998E-2</v>
      </c>
    </row>
    <row r="21" spans="1:5" x14ac:dyDescent="0.3">
      <c r="A21" s="39">
        <v>992.15</v>
      </c>
      <c r="B21" s="40">
        <v>8420.82</v>
      </c>
      <c r="C21" s="39">
        <v>19.04</v>
      </c>
      <c r="D21" s="39">
        <v>6.4</v>
      </c>
      <c r="E21" s="44">
        <f t="shared" si="0"/>
        <v>6.4000000000000001E-2</v>
      </c>
    </row>
    <row r="22" spans="1:5" x14ac:dyDescent="0.3">
      <c r="A22" s="40">
        <v>8420.83</v>
      </c>
      <c r="B22" s="40">
        <v>14798.84</v>
      </c>
      <c r="C22" s="39">
        <v>494.48</v>
      </c>
      <c r="D22" s="39">
        <v>10.88</v>
      </c>
      <c r="E22" s="44">
        <f t="shared" si="0"/>
        <v>0.10880000000000001</v>
      </c>
    </row>
    <row r="23" spans="1:5" x14ac:dyDescent="0.3">
      <c r="A23" s="40">
        <v>14798.85</v>
      </c>
      <c r="B23" s="40">
        <v>17203</v>
      </c>
      <c r="C23" s="40">
        <v>1188.42</v>
      </c>
      <c r="D23" s="39">
        <v>16</v>
      </c>
      <c r="E23" s="44">
        <f t="shared" si="0"/>
        <v>0.16</v>
      </c>
    </row>
    <row r="24" spans="1:5" x14ac:dyDescent="0.3">
      <c r="A24" s="40">
        <v>17203.009999999998</v>
      </c>
      <c r="B24" s="40">
        <v>20596.7</v>
      </c>
      <c r="C24" s="40">
        <v>1573.08</v>
      </c>
      <c r="D24" s="39">
        <v>17.920000000000002</v>
      </c>
      <c r="E24" s="44">
        <f t="shared" si="0"/>
        <v>0.17920000000000003</v>
      </c>
    </row>
    <row r="25" spans="1:5" x14ac:dyDescent="0.3">
      <c r="A25" s="40">
        <v>20596.71</v>
      </c>
      <c r="B25" s="40">
        <v>41540.58</v>
      </c>
      <c r="C25" s="40">
        <v>2181.2199999999998</v>
      </c>
      <c r="D25" s="39">
        <v>21.36</v>
      </c>
      <c r="E25" s="44">
        <f t="shared" si="0"/>
        <v>0.21359999999999998</v>
      </c>
    </row>
    <row r="26" spans="1:5" x14ac:dyDescent="0.3">
      <c r="A26" s="40">
        <v>41540.589999999997</v>
      </c>
      <c r="B26" s="40">
        <v>65473.66</v>
      </c>
      <c r="C26" s="40">
        <v>6654.84</v>
      </c>
      <c r="D26" s="39">
        <v>23.52</v>
      </c>
      <c r="E26" s="44">
        <f t="shared" si="0"/>
        <v>0.23519999999999999</v>
      </c>
    </row>
    <row r="27" spans="1:5" x14ac:dyDescent="0.3">
      <c r="A27" s="40">
        <v>65473.67</v>
      </c>
      <c r="B27" s="40">
        <v>125000</v>
      </c>
      <c r="C27" s="40">
        <v>12283.9</v>
      </c>
      <c r="D27" s="39">
        <v>30</v>
      </c>
      <c r="E27" s="44">
        <f t="shared" si="0"/>
        <v>0.3</v>
      </c>
    </row>
    <row r="28" spans="1:5" x14ac:dyDescent="0.3">
      <c r="A28" s="40">
        <v>125000.01</v>
      </c>
      <c r="B28" s="40">
        <v>166666.66</v>
      </c>
      <c r="C28" s="40">
        <v>30141.8</v>
      </c>
      <c r="D28" s="39">
        <v>32</v>
      </c>
      <c r="E28" s="44">
        <f t="shared" si="0"/>
        <v>0.32</v>
      </c>
    </row>
    <row r="29" spans="1:5" x14ac:dyDescent="0.3">
      <c r="A29" s="81">
        <v>166666.67000000001</v>
      </c>
      <c r="B29" s="81">
        <v>500000</v>
      </c>
      <c r="C29" s="81">
        <v>43475.14</v>
      </c>
      <c r="D29" s="82">
        <v>34</v>
      </c>
      <c r="E29" s="83">
        <f t="shared" si="0"/>
        <v>0.34</v>
      </c>
    </row>
    <row r="30" spans="1:5" ht="15" thickBot="1" x14ac:dyDescent="0.35">
      <c r="A30" s="41">
        <v>500000.01</v>
      </c>
      <c r="B30" s="42" t="s">
        <v>145</v>
      </c>
      <c r="C30" s="41">
        <v>156808.46</v>
      </c>
      <c r="D30" s="42">
        <v>35</v>
      </c>
      <c r="E30" s="45">
        <f t="shared" si="0"/>
        <v>0.35</v>
      </c>
    </row>
    <row r="31" spans="1:5" ht="15.6" thickTop="1" thickBot="1" x14ac:dyDescent="0.35">
      <c r="A31" t="s">
        <v>2</v>
      </c>
      <c r="E31" s="45"/>
    </row>
    <row r="32" spans="1:5" ht="15" thickTop="1" x14ac:dyDescent="0.3">
      <c r="A32" s="38">
        <v>0.01</v>
      </c>
      <c r="B32" s="43">
        <v>1488.21</v>
      </c>
      <c r="C32" s="38">
        <v>0</v>
      </c>
      <c r="D32" s="38">
        <v>1.92</v>
      </c>
      <c r="E32" s="44">
        <f t="shared" si="0"/>
        <v>1.9199999999999998E-2</v>
      </c>
    </row>
    <row r="33" spans="1:5" x14ac:dyDescent="0.3">
      <c r="A33" s="40">
        <v>1488.22</v>
      </c>
      <c r="B33" s="40">
        <v>12631.23</v>
      </c>
      <c r="C33" s="39">
        <v>28.56</v>
      </c>
      <c r="D33" s="39">
        <v>6.4</v>
      </c>
      <c r="E33" s="44">
        <f t="shared" si="0"/>
        <v>6.4000000000000001E-2</v>
      </c>
    </row>
    <row r="34" spans="1:5" x14ac:dyDescent="0.3">
      <c r="A34" s="40">
        <v>12631.24</v>
      </c>
      <c r="B34" s="40">
        <v>22198.26</v>
      </c>
      <c r="C34" s="39">
        <v>741.72</v>
      </c>
      <c r="D34" s="39">
        <v>10.88</v>
      </c>
      <c r="E34" s="44">
        <f t="shared" si="0"/>
        <v>0.10880000000000001</v>
      </c>
    </row>
    <row r="35" spans="1:5" x14ac:dyDescent="0.3">
      <c r="A35" s="40">
        <v>22198.27</v>
      </c>
      <c r="B35" s="40">
        <v>25804.5</v>
      </c>
      <c r="C35" s="40">
        <v>1782.63</v>
      </c>
      <c r="D35" s="39">
        <v>16</v>
      </c>
      <c r="E35" s="44">
        <f t="shared" si="0"/>
        <v>0.16</v>
      </c>
    </row>
    <row r="36" spans="1:5" x14ac:dyDescent="0.3">
      <c r="A36" s="40">
        <v>25804.51</v>
      </c>
      <c r="B36" s="40">
        <v>30895.05</v>
      </c>
      <c r="C36" s="40">
        <v>2359.62</v>
      </c>
      <c r="D36" s="39">
        <v>17.920000000000002</v>
      </c>
      <c r="E36" s="44">
        <f t="shared" si="0"/>
        <v>0.17920000000000003</v>
      </c>
    </row>
    <row r="37" spans="1:5" x14ac:dyDescent="0.3">
      <c r="A37" s="40">
        <v>30895.06</v>
      </c>
      <c r="B37" s="40">
        <v>62310.87</v>
      </c>
      <c r="C37" s="40">
        <v>3271.83</v>
      </c>
      <c r="D37" s="39">
        <v>21.36</v>
      </c>
      <c r="E37" s="44">
        <f t="shared" si="0"/>
        <v>0.21359999999999998</v>
      </c>
    </row>
    <row r="38" spans="1:5" x14ac:dyDescent="0.3">
      <c r="A38" s="40">
        <v>62310.879999999997</v>
      </c>
      <c r="B38" s="40">
        <v>98210.49</v>
      </c>
      <c r="C38" s="40">
        <v>9982.26</v>
      </c>
      <c r="D38" s="39">
        <v>23.52</v>
      </c>
      <c r="E38" s="44">
        <f t="shared" si="0"/>
        <v>0.23519999999999999</v>
      </c>
    </row>
    <row r="39" spans="1:5" x14ac:dyDescent="0.3">
      <c r="A39" s="40">
        <v>98210.5</v>
      </c>
      <c r="B39" s="40">
        <v>187500</v>
      </c>
      <c r="C39" s="40">
        <v>18425.849999999999</v>
      </c>
      <c r="D39" s="39">
        <v>30</v>
      </c>
      <c r="E39" s="44">
        <f t="shared" si="0"/>
        <v>0.3</v>
      </c>
    </row>
    <row r="40" spans="1:5" x14ac:dyDescent="0.3">
      <c r="A40" s="40">
        <v>187500.01</v>
      </c>
      <c r="B40" s="40">
        <v>249999.99</v>
      </c>
      <c r="C40" s="40">
        <v>45212.7</v>
      </c>
      <c r="D40" s="39">
        <v>32</v>
      </c>
      <c r="E40" s="44">
        <f t="shared" si="0"/>
        <v>0.32</v>
      </c>
    </row>
    <row r="41" spans="1:5" x14ac:dyDescent="0.3">
      <c r="A41" s="40">
        <v>250000</v>
      </c>
      <c r="B41" s="40">
        <v>750000</v>
      </c>
      <c r="C41" s="40">
        <v>65212.71</v>
      </c>
      <c r="D41" s="39">
        <v>34</v>
      </c>
      <c r="E41" s="44">
        <f t="shared" si="0"/>
        <v>0.34</v>
      </c>
    </row>
    <row r="42" spans="1:5" ht="15" thickBot="1" x14ac:dyDescent="0.35">
      <c r="A42" s="85">
        <v>750000.01</v>
      </c>
      <c r="B42" s="86" t="s">
        <v>145</v>
      </c>
      <c r="C42" s="85">
        <v>235212.69</v>
      </c>
      <c r="D42" s="86">
        <v>35</v>
      </c>
      <c r="E42" s="87">
        <f t="shared" si="0"/>
        <v>0.35</v>
      </c>
    </row>
    <row r="43" spans="1:5" ht="15.6" thickTop="1" thickBot="1" x14ac:dyDescent="0.35">
      <c r="A43" t="s">
        <v>3</v>
      </c>
      <c r="E43" s="45"/>
    </row>
    <row r="44" spans="1:5" ht="15" thickTop="1" x14ac:dyDescent="0.3">
      <c r="A44" s="38">
        <v>0.01</v>
      </c>
      <c r="B44" s="43">
        <v>1984.28</v>
      </c>
      <c r="C44" s="38">
        <v>0</v>
      </c>
      <c r="D44" s="38">
        <v>1.92</v>
      </c>
      <c r="E44" s="44">
        <f t="shared" si="0"/>
        <v>1.9199999999999998E-2</v>
      </c>
    </row>
    <row r="45" spans="1:5" x14ac:dyDescent="0.3">
      <c r="A45" s="40">
        <v>1984.29</v>
      </c>
      <c r="B45" s="40">
        <v>16841.64</v>
      </c>
      <c r="C45" s="39">
        <v>38.08</v>
      </c>
      <c r="D45" s="39">
        <v>6.4</v>
      </c>
      <c r="E45" s="44">
        <f t="shared" si="0"/>
        <v>6.4000000000000001E-2</v>
      </c>
    </row>
    <row r="46" spans="1:5" x14ac:dyDescent="0.3">
      <c r="A46" s="40">
        <v>16841.650000000001</v>
      </c>
      <c r="B46" s="40">
        <v>29597.68</v>
      </c>
      <c r="C46" s="39">
        <v>988.96</v>
      </c>
      <c r="D46" s="39">
        <v>10.88</v>
      </c>
      <c r="E46" s="44">
        <f t="shared" si="0"/>
        <v>0.10880000000000001</v>
      </c>
    </row>
    <row r="47" spans="1:5" x14ac:dyDescent="0.3">
      <c r="A47" s="40">
        <v>29597.69</v>
      </c>
      <c r="B47" s="40">
        <v>34406</v>
      </c>
      <c r="C47" s="40">
        <v>2376.84</v>
      </c>
      <c r="D47" s="39">
        <v>16</v>
      </c>
      <c r="E47" s="44">
        <f t="shared" si="0"/>
        <v>0.16</v>
      </c>
    </row>
    <row r="48" spans="1:5" x14ac:dyDescent="0.3">
      <c r="A48" s="40">
        <v>34406.01</v>
      </c>
      <c r="B48" s="40">
        <v>41193.4</v>
      </c>
      <c r="C48" s="40">
        <v>3146.16</v>
      </c>
      <c r="D48" s="39">
        <v>17.920000000000002</v>
      </c>
      <c r="E48" s="44">
        <f t="shared" si="0"/>
        <v>0.17920000000000003</v>
      </c>
    </row>
    <row r="49" spans="1:5" x14ac:dyDescent="0.3">
      <c r="A49" s="40">
        <v>41193.410000000003</v>
      </c>
      <c r="B49" s="40">
        <v>83081.16</v>
      </c>
      <c r="C49" s="40">
        <v>4362.4399999999996</v>
      </c>
      <c r="D49" s="39">
        <v>21.36</v>
      </c>
      <c r="E49" s="44">
        <f t="shared" si="0"/>
        <v>0.21359999999999998</v>
      </c>
    </row>
    <row r="50" spans="1:5" x14ac:dyDescent="0.3">
      <c r="A50" s="40">
        <v>83081.17</v>
      </c>
      <c r="B50" s="40">
        <v>130947.32</v>
      </c>
      <c r="C50" s="40">
        <v>13309.68</v>
      </c>
      <c r="D50" s="39">
        <v>23.52</v>
      </c>
      <c r="E50" s="44">
        <f t="shared" si="0"/>
        <v>0.23519999999999999</v>
      </c>
    </row>
    <row r="51" spans="1:5" x14ac:dyDescent="0.3">
      <c r="A51" s="40">
        <v>130947.33</v>
      </c>
      <c r="B51" s="40">
        <v>250000</v>
      </c>
      <c r="C51" s="40">
        <v>24567.8</v>
      </c>
      <c r="D51" s="39">
        <v>30</v>
      </c>
      <c r="E51" s="44">
        <f t="shared" si="0"/>
        <v>0.3</v>
      </c>
    </row>
    <row r="52" spans="1:5" x14ac:dyDescent="0.3">
      <c r="A52" s="40">
        <v>250000.01</v>
      </c>
      <c r="B52" s="40">
        <v>333333.32</v>
      </c>
      <c r="C52" s="40">
        <v>60283.6</v>
      </c>
      <c r="D52" s="39">
        <v>32</v>
      </c>
      <c r="E52" s="44">
        <f t="shared" si="0"/>
        <v>0.32</v>
      </c>
    </row>
    <row r="53" spans="1:5" x14ac:dyDescent="0.3">
      <c r="A53" s="40">
        <v>333333.33</v>
      </c>
      <c r="B53" s="40">
        <v>1000000</v>
      </c>
      <c r="C53" s="40">
        <v>86950.28</v>
      </c>
      <c r="D53" s="39">
        <v>34</v>
      </c>
      <c r="E53" s="44">
        <f t="shared" si="0"/>
        <v>0.34</v>
      </c>
    </row>
    <row r="54" spans="1:5" ht="15" thickBot="1" x14ac:dyDescent="0.35">
      <c r="A54" s="41">
        <v>1000000.01</v>
      </c>
      <c r="B54" s="42" t="s">
        <v>145</v>
      </c>
      <c r="C54" s="41">
        <v>313616.92</v>
      </c>
      <c r="D54" s="42">
        <v>35</v>
      </c>
      <c r="E54" s="45">
        <f t="shared" si="0"/>
        <v>0.35</v>
      </c>
    </row>
    <row r="55" spans="1:5" ht="15.6" thickTop="1" thickBot="1" x14ac:dyDescent="0.35">
      <c r="A55" t="s">
        <v>4</v>
      </c>
      <c r="E55" s="45"/>
    </row>
    <row r="56" spans="1:5" ht="15" thickTop="1" x14ac:dyDescent="0.3">
      <c r="A56" s="38">
        <v>0.01</v>
      </c>
      <c r="B56" s="43">
        <v>2480.35</v>
      </c>
      <c r="C56" s="38">
        <v>0</v>
      </c>
      <c r="D56" s="38">
        <v>1.92</v>
      </c>
      <c r="E56" s="44">
        <f t="shared" si="0"/>
        <v>1.9199999999999998E-2</v>
      </c>
    </row>
    <row r="57" spans="1:5" x14ac:dyDescent="0.3">
      <c r="A57" s="40">
        <v>2480.36</v>
      </c>
      <c r="B57" s="40">
        <v>21052.05</v>
      </c>
      <c r="C57" s="39">
        <v>47.6</v>
      </c>
      <c r="D57" s="39">
        <v>6.4</v>
      </c>
      <c r="E57" s="44">
        <f t="shared" si="0"/>
        <v>6.4000000000000001E-2</v>
      </c>
    </row>
    <row r="58" spans="1:5" x14ac:dyDescent="0.3">
      <c r="A58" s="40">
        <v>21052.06</v>
      </c>
      <c r="B58" s="40">
        <v>36997.1</v>
      </c>
      <c r="C58" s="40">
        <v>1236.2</v>
      </c>
      <c r="D58" s="39">
        <v>10.88</v>
      </c>
      <c r="E58" s="44">
        <f t="shared" si="0"/>
        <v>0.10880000000000001</v>
      </c>
    </row>
    <row r="59" spans="1:5" x14ac:dyDescent="0.3">
      <c r="A59" s="40">
        <v>36997.11</v>
      </c>
      <c r="B59" s="40">
        <v>43007.5</v>
      </c>
      <c r="C59" s="40">
        <v>2971.05</v>
      </c>
      <c r="D59" s="39">
        <v>16</v>
      </c>
      <c r="E59" s="44">
        <f t="shared" si="0"/>
        <v>0.16</v>
      </c>
    </row>
    <row r="60" spans="1:5" x14ac:dyDescent="0.3">
      <c r="A60" s="40">
        <v>43007.51</v>
      </c>
      <c r="B60" s="40">
        <v>51491.75</v>
      </c>
      <c r="C60" s="40">
        <v>3932.7</v>
      </c>
      <c r="D60" s="39">
        <v>17.920000000000002</v>
      </c>
      <c r="E60" s="44">
        <f t="shared" si="0"/>
        <v>0.17920000000000003</v>
      </c>
    </row>
    <row r="61" spans="1:5" x14ac:dyDescent="0.3">
      <c r="A61" s="40">
        <v>51491.76</v>
      </c>
      <c r="B61" s="40">
        <v>103851.45</v>
      </c>
      <c r="C61" s="40">
        <v>5453.05</v>
      </c>
      <c r="D61" s="39">
        <v>21.36</v>
      </c>
      <c r="E61" s="44">
        <f t="shared" si="0"/>
        <v>0.21359999999999998</v>
      </c>
    </row>
    <row r="62" spans="1:5" x14ac:dyDescent="0.3">
      <c r="A62" s="40">
        <v>103851.46</v>
      </c>
      <c r="B62" s="40">
        <v>163684.15</v>
      </c>
      <c r="C62" s="40">
        <v>16637.099999999999</v>
      </c>
      <c r="D62" s="39">
        <v>23.52</v>
      </c>
      <c r="E62" s="44">
        <f t="shared" si="0"/>
        <v>0.23519999999999999</v>
      </c>
    </row>
    <row r="63" spans="1:5" x14ac:dyDescent="0.3">
      <c r="A63" s="40">
        <v>163684.16</v>
      </c>
      <c r="B63" s="40">
        <v>312500</v>
      </c>
      <c r="C63" s="40">
        <v>30709.75</v>
      </c>
      <c r="D63" s="39">
        <v>30</v>
      </c>
      <c r="E63" s="44">
        <f t="shared" si="0"/>
        <v>0.3</v>
      </c>
    </row>
    <row r="64" spans="1:5" x14ac:dyDescent="0.3">
      <c r="A64" s="40">
        <v>312500.01</v>
      </c>
      <c r="B64" s="40">
        <v>416666.65</v>
      </c>
      <c r="C64" s="40">
        <v>75354.5</v>
      </c>
      <c r="D64" s="39">
        <v>32</v>
      </c>
      <c r="E64" s="44">
        <f t="shared" si="0"/>
        <v>0.32</v>
      </c>
    </row>
    <row r="65" spans="1:5" x14ac:dyDescent="0.3">
      <c r="A65" s="40">
        <v>416666.66</v>
      </c>
      <c r="B65" s="40">
        <v>1250000</v>
      </c>
      <c r="C65" s="40">
        <v>108687.85</v>
      </c>
      <c r="D65" s="39">
        <v>34</v>
      </c>
      <c r="E65" s="44">
        <f t="shared" si="0"/>
        <v>0.34</v>
      </c>
    </row>
    <row r="66" spans="1:5" ht="15" thickBot="1" x14ac:dyDescent="0.35">
      <c r="A66" s="41">
        <v>1250000.01</v>
      </c>
      <c r="B66" s="42" t="s">
        <v>145</v>
      </c>
      <c r="C66" s="41">
        <v>392021.15</v>
      </c>
      <c r="D66" s="42">
        <v>35</v>
      </c>
      <c r="E66" s="45">
        <f t="shared" si="0"/>
        <v>0.35</v>
      </c>
    </row>
    <row r="67" spans="1:5" ht="15.6" thickTop="1" thickBot="1" x14ac:dyDescent="0.35">
      <c r="A67" t="s">
        <v>113</v>
      </c>
      <c r="E67" s="45"/>
    </row>
    <row r="68" spans="1:5" ht="15" thickTop="1" x14ac:dyDescent="0.3">
      <c r="A68" s="38">
        <v>0.01</v>
      </c>
      <c r="B68" s="43">
        <v>2976.42</v>
      </c>
      <c r="C68" s="38">
        <v>0</v>
      </c>
      <c r="D68" s="38">
        <v>1.92</v>
      </c>
      <c r="E68" s="44">
        <f t="shared" si="0"/>
        <v>1.9199999999999998E-2</v>
      </c>
    </row>
    <row r="69" spans="1:5" x14ac:dyDescent="0.3">
      <c r="A69" s="40">
        <v>2976.43</v>
      </c>
      <c r="B69" s="40">
        <v>25262.46</v>
      </c>
      <c r="C69" s="39">
        <v>57.12</v>
      </c>
      <c r="D69" s="39">
        <v>6.4</v>
      </c>
      <c r="E69" s="44">
        <f t="shared" si="0"/>
        <v>6.4000000000000001E-2</v>
      </c>
    </row>
    <row r="70" spans="1:5" x14ac:dyDescent="0.3">
      <c r="A70" s="40">
        <v>25262.47</v>
      </c>
      <c r="B70" s="40">
        <v>44396.52</v>
      </c>
      <c r="C70" s="40">
        <v>1483.44</v>
      </c>
      <c r="D70" s="39">
        <v>10.88</v>
      </c>
      <c r="E70" s="44">
        <f t="shared" si="0"/>
        <v>0.10880000000000001</v>
      </c>
    </row>
    <row r="71" spans="1:5" x14ac:dyDescent="0.3">
      <c r="A71" s="40">
        <v>44396.53</v>
      </c>
      <c r="B71" s="40">
        <v>51609</v>
      </c>
      <c r="C71" s="40">
        <v>3565.26</v>
      </c>
      <c r="D71" s="39">
        <v>16</v>
      </c>
      <c r="E71" s="44">
        <f t="shared" si="0"/>
        <v>0.16</v>
      </c>
    </row>
    <row r="72" spans="1:5" x14ac:dyDescent="0.3">
      <c r="A72" s="40">
        <v>51609.01</v>
      </c>
      <c r="B72" s="40">
        <v>61790.1</v>
      </c>
      <c r="C72" s="40">
        <v>4719.24</v>
      </c>
      <c r="D72" s="39">
        <v>17.920000000000002</v>
      </c>
      <c r="E72" s="44">
        <f t="shared" si="0"/>
        <v>0.17920000000000003</v>
      </c>
    </row>
    <row r="73" spans="1:5" x14ac:dyDescent="0.3">
      <c r="A73" s="40">
        <v>61790.11</v>
      </c>
      <c r="B73" s="40">
        <v>124621.74</v>
      </c>
      <c r="C73" s="40">
        <v>6543.66</v>
      </c>
      <c r="D73" s="39">
        <v>21.36</v>
      </c>
      <c r="E73" s="44">
        <f t="shared" ref="E73:E136" si="1">D73/100</f>
        <v>0.21359999999999998</v>
      </c>
    </row>
    <row r="74" spans="1:5" x14ac:dyDescent="0.3">
      <c r="A74" s="40">
        <v>124621.75</v>
      </c>
      <c r="B74" s="40">
        <v>196420.98</v>
      </c>
      <c r="C74" s="40">
        <v>19964.52</v>
      </c>
      <c r="D74" s="39">
        <v>23.52</v>
      </c>
      <c r="E74" s="44">
        <f t="shared" si="1"/>
        <v>0.23519999999999999</v>
      </c>
    </row>
    <row r="75" spans="1:5" x14ac:dyDescent="0.3">
      <c r="A75" s="40">
        <v>196420.99</v>
      </c>
      <c r="B75" s="40">
        <v>375000</v>
      </c>
      <c r="C75" s="40">
        <v>36851.699999999997</v>
      </c>
      <c r="D75" s="39">
        <v>30</v>
      </c>
      <c r="E75" s="44">
        <f t="shared" si="1"/>
        <v>0.3</v>
      </c>
    </row>
    <row r="76" spans="1:5" x14ac:dyDescent="0.3">
      <c r="A76" s="40">
        <v>375000.01</v>
      </c>
      <c r="B76" s="40">
        <v>499999.98</v>
      </c>
      <c r="C76" s="40">
        <v>90425.4</v>
      </c>
      <c r="D76" s="39">
        <v>32</v>
      </c>
      <c r="E76" s="44">
        <f t="shared" si="1"/>
        <v>0.32</v>
      </c>
    </row>
    <row r="77" spans="1:5" x14ac:dyDescent="0.3">
      <c r="A77" s="40">
        <v>499999.99</v>
      </c>
      <c r="B77" s="40">
        <v>1500000</v>
      </c>
      <c r="C77" s="40">
        <v>130425.42</v>
      </c>
      <c r="D77" s="39">
        <v>34</v>
      </c>
      <c r="E77" s="44">
        <f t="shared" si="1"/>
        <v>0.34</v>
      </c>
    </row>
    <row r="78" spans="1:5" ht="15" thickBot="1" x14ac:dyDescent="0.35">
      <c r="A78" s="41">
        <v>1500000.01</v>
      </c>
      <c r="B78" s="42" t="s">
        <v>145</v>
      </c>
      <c r="C78" s="41">
        <v>470425.38</v>
      </c>
      <c r="D78" s="42">
        <v>35</v>
      </c>
      <c r="E78" s="45">
        <f t="shared" si="1"/>
        <v>0.35</v>
      </c>
    </row>
    <row r="79" spans="1:5" ht="15.6" thickTop="1" thickBot="1" x14ac:dyDescent="0.35">
      <c r="A79" t="s">
        <v>115</v>
      </c>
      <c r="E79" s="45"/>
    </row>
    <row r="80" spans="1:5" ht="15" thickTop="1" x14ac:dyDescent="0.3">
      <c r="A80" s="38">
        <v>0.01</v>
      </c>
      <c r="B80" s="43">
        <v>3472.49</v>
      </c>
      <c r="C80" s="38">
        <v>0</v>
      </c>
      <c r="D80" s="38">
        <v>1.92</v>
      </c>
      <c r="E80" s="44">
        <f t="shared" si="1"/>
        <v>1.9199999999999998E-2</v>
      </c>
    </row>
    <row r="81" spans="1:5" x14ac:dyDescent="0.3">
      <c r="A81" s="40">
        <v>3472.5</v>
      </c>
      <c r="B81" s="40">
        <v>29472.87</v>
      </c>
      <c r="C81" s="39">
        <v>66.64</v>
      </c>
      <c r="D81" s="39">
        <v>6.4</v>
      </c>
      <c r="E81" s="44">
        <f t="shared" si="1"/>
        <v>6.4000000000000001E-2</v>
      </c>
    </row>
    <row r="82" spans="1:5" x14ac:dyDescent="0.3">
      <c r="A82" s="40">
        <v>29472.880000000001</v>
      </c>
      <c r="B82" s="40">
        <v>51795.94</v>
      </c>
      <c r="C82" s="40">
        <v>1730.68</v>
      </c>
      <c r="D82" s="39">
        <v>10.88</v>
      </c>
      <c r="E82" s="44">
        <f t="shared" si="1"/>
        <v>0.10880000000000001</v>
      </c>
    </row>
    <row r="83" spans="1:5" x14ac:dyDescent="0.3">
      <c r="A83" s="40">
        <v>51795.95</v>
      </c>
      <c r="B83" s="40">
        <v>60210.5</v>
      </c>
      <c r="C83" s="40">
        <v>4159.47</v>
      </c>
      <c r="D83" s="39">
        <v>16</v>
      </c>
      <c r="E83" s="44">
        <f t="shared" si="1"/>
        <v>0.16</v>
      </c>
    </row>
    <row r="84" spans="1:5" x14ac:dyDescent="0.3">
      <c r="A84" s="40">
        <v>60210.51</v>
      </c>
      <c r="B84" s="40">
        <v>72088.45</v>
      </c>
      <c r="C84" s="40">
        <v>5505.78</v>
      </c>
      <c r="D84" s="39">
        <v>17.920000000000002</v>
      </c>
      <c r="E84" s="44">
        <f t="shared" si="1"/>
        <v>0.17920000000000003</v>
      </c>
    </row>
    <row r="85" spans="1:5" x14ac:dyDescent="0.3">
      <c r="A85" s="40">
        <v>72088.460000000006</v>
      </c>
      <c r="B85" s="40">
        <v>145392.03</v>
      </c>
      <c r="C85" s="40">
        <v>7634.27</v>
      </c>
      <c r="D85" s="39">
        <v>21.36</v>
      </c>
      <c r="E85" s="44">
        <f t="shared" si="1"/>
        <v>0.21359999999999998</v>
      </c>
    </row>
    <row r="86" spans="1:5" x14ac:dyDescent="0.3">
      <c r="A86" s="40">
        <v>145392.04</v>
      </c>
      <c r="B86" s="40">
        <v>229157.81</v>
      </c>
      <c r="C86" s="40">
        <v>23291.94</v>
      </c>
      <c r="D86" s="39">
        <v>23.52</v>
      </c>
      <c r="E86" s="44">
        <f t="shared" si="1"/>
        <v>0.23519999999999999</v>
      </c>
    </row>
    <row r="87" spans="1:5" x14ac:dyDescent="0.3">
      <c r="A87" s="40">
        <v>229157.82</v>
      </c>
      <c r="B87" s="40">
        <v>437500</v>
      </c>
      <c r="C87" s="40">
        <v>42993.65</v>
      </c>
      <c r="D87" s="39">
        <v>30</v>
      </c>
      <c r="E87" s="44">
        <f t="shared" si="1"/>
        <v>0.3</v>
      </c>
    </row>
    <row r="88" spans="1:5" x14ac:dyDescent="0.3">
      <c r="A88" s="40">
        <v>437500.01</v>
      </c>
      <c r="B88" s="40">
        <v>583333.31000000006</v>
      </c>
      <c r="C88" s="40">
        <v>105496.3</v>
      </c>
      <c r="D88" s="39">
        <v>32</v>
      </c>
      <c r="E88" s="44">
        <f t="shared" si="1"/>
        <v>0.32</v>
      </c>
    </row>
    <row r="89" spans="1:5" x14ac:dyDescent="0.3">
      <c r="A89" s="40">
        <v>583333.31999999995</v>
      </c>
      <c r="B89" s="40">
        <v>1750000</v>
      </c>
      <c r="C89" s="40">
        <v>152162.99</v>
      </c>
      <c r="D89" s="39">
        <v>34</v>
      </c>
      <c r="E89" s="44">
        <f t="shared" si="1"/>
        <v>0.34</v>
      </c>
    </row>
    <row r="90" spans="1:5" ht="15" thickBot="1" x14ac:dyDescent="0.35">
      <c r="A90" s="41">
        <v>1750000.01</v>
      </c>
      <c r="B90" s="42" t="s">
        <v>145</v>
      </c>
      <c r="C90" s="41">
        <v>548829.61</v>
      </c>
      <c r="D90" s="42">
        <v>35</v>
      </c>
      <c r="E90" s="45">
        <f t="shared" si="1"/>
        <v>0.35</v>
      </c>
    </row>
    <row r="91" spans="1:5" ht="15.6" thickTop="1" thickBot="1" x14ac:dyDescent="0.35">
      <c r="A91" t="s">
        <v>119</v>
      </c>
      <c r="E91" s="45"/>
    </row>
    <row r="92" spans="1:5" ht="15" thickTop="1" x14ac:dyDescent="0.3">
      <c r="A92" s="38">
        <v>0.01</v>
      </c>
      <c r="B92" s="43">
        <v>3968.56</v>
      </c>
      <c r="C92" s="38">
        <v>0</v>
      </c>
      <c r="D92" s="38">
        <v>1.92</v>
      </c>
      <c r="E92" s="44">
        <f t="shared" si="1"/>
        <v>1.9199999999999998E-2</v>
      </c>
    </row>
    <row r="93" spans="1:5" x14ac:dyDescent="0.3">
      <c r="A93" s="40">
        <v>3968.57</v>
      </c>
      <c r="B93" s="40">
        <v>33683.279999999999</v>
      </c>
      <c r="C93" s="39">
        <v>76.16</v>
      </c>
      <c r="D93" s="39">
        <v>6.4</v>
      </c>
      <c r="E93" s="44">
        <f t="shared" si="1"/>
        <v>6.4000000000000001E-2</v>
      </c>
    </row>
    <row r="94" spans="1:5" x14ac:dyDescent="0.3">
      <c r="A94" s="40">
        <v>33683.29</v>
      </c>
      <c r="B94" s="40">
        <v>59195.360000000001</v>
      </c>
      <c r="C94" s="40">
        <v>1977.92</v>
      </c>
      <c r="D94" s="39">
        <v>10.88</v>
      </c>
      <c r="E94" s="44">
        <f t="shared" si="1"/>
        <v>0.10880000000000001</v>
      </c>
    </row>
    <row r="95" spans="1:5" x14ac:dyDescent="0.3">
      <c r="A95" s="40">
        <v>59195.37</v>
      </c>
      <c r="B95" s="40">
        <v>68812</v>
      </c>
      <c r="C95" s="40">
        <v>4753.68</v>
      </c>
      <c r="D95" s="39">
        <v>16</v>
      </c>
      <c r="E95" s="44">
        <f t="shared" si="1"/>
        <v>0.16</v>
      </c>
    </row>
    <row r="96" spans="1:5" x14ac:dyDescent="0.3">
      <c r="A96" s="40">
        <v>68812.009999999995</v>
      </c>
      <c r="B96" s="40">
        <v>82386.8</v>
      </c>
      <c r="C96" s="40">
        <v>6292.32</v>
      </c>
      <c r="D96" s="39">
        <v>17.920000000000002</v>
      </c>
      <c r="E96" s="44">
        <f t="shared" si="1"/>
        <v>0.17920000000000003</v>
      </c>
    </row>
    <row r="97" spans="1:5" x14ac:dyDescent="0.3">
      <c r="A97" s="40">
        <v>82386.81</v>
      </c>
      <c r="B97" s="40">
        <v>166162.32</v>
      </c>
      <c r="C97" s="40">
        <v>8724.8799999999992</v>
      </c>
      <c r="D97" s="39">
        <v>21.36</v>
      </c>
      <c r="E97" s="44">
        <f t="shared" si="1"/>
        <v>0.21359999999999998</v>
      </c>
    </row>
    <row r="98" spans="1:5" x14ac:dyDescent="0.3">
      <c r="A98" s="40">
        <v>166162.32999999999</v>
      </c>
      <c r="B98" s="40">
        <v>261894.64</v>
      </c>
      <c r="C98" s="40">
        <v>26619.360000000001</v>
      </c>
      <c r="D98" s="39">
        <v>23.52</v>
      </c>
      <c r="E98" s="44">
        <f t="shared" si="1"/>
        <v>0.23519999999999999</v>
      </c>
    </row>
    <row r="99" spans="1:5" x14ac:dyDescent="0.3">
      <c r="A99" s="40">
        <v>261894.65</v>
      </c>
      <c r="B99" s="40">
        <v>500000</v>
      </c>
      <c r="C99" s="40">
        <v>49135.6</v>
      </c>
      <c r="D99" s="39">
        <v>30</v>
      </c>
      <c r="E99" s="44">
        <f t="shared" si="1"/>
        <v>0.3</v>
      </c>
    </row>
    <row r="100" spans="1:5" x14ac:dyDescent="0.3">
      <c r="A100" s="40">
        <v>500000.01</v>
      </c>
      <c r="B100" s="40">
        <v>666666.64</v>
      </c>
      <c r="C100" s="40">
        <v>120567.2</v>
      </c>
      <c r="D100" s="39">
        <v>32</v>
      </c>
      <c r="E100" s="44">
        <f t="shared" si="1"/>
        <v>0.32</v>
      </c>
    </row>
    <row r="101" spans="1:5" x14ac:dyDescent="0.3">
      <c r="A101" s="40">
        <v>666666.65</v>
      </c>
      <c r="B101" s="40">
        <v>2000000</v>
      </c>
      <c r="C101" s="40">
        <v>173900.56</v>
      </c>
      <c r="D101" s="39">
        <v>34</v>
      </c>
      <c r="E101" s="44">
        <f t="shared" si="1"/>
        <v>0.34</v>
      </c>
    </row>
    <row r="102" spans="1:5" ht="15" thickBot="1" x14ac:dyDescent="0.35">
      <c r="A102" s="41">
        <v>2000000.01</v>
      </c>
      <c r="B102" s="42" t="s">
        <v>145</v>
      </c>
      <c r="C102" s="41">
        <v>627233.84</v>
      </c>
      <c r="D102" s="42">
        <v>35</v>
      </c>
      <c r="E102" s="45">
        <f t="shared" si="1"/>
        <v>0.35</v>
      </c>
    </row>
    <row r="103" spans="1:5" ht="15.6" thickTop="1" thickBot="1" x14ac:dyDescent="0.35">
      <c r="A103" t="s">
        <v>124</v>
      </c>
      <c r="E103" s="45"/>
    </row>
    <row r="104" spans="1:5" ht="15" thickTop="1" x14ac:dyDescent="0.3">
      <c r="A104" s="38">
        <v>0.01</v>
      </c>
      <c r="B104" s="43">
        <v>4464.63</v>
      </c>
      <c r="C104" s="38">
        <v>0</v>
      </c>
      <c r="D104" s="38">
        <v>1.92</v>
      </c>
      <c r="E104" s="44">
        <f t="shared" si="1"/>
        <v>1.9199999999999998E-2</v>
      </c>
    </row>
    <row r="105" spans="1:5" x14ac:dyDescent="0.3">
      <c r="A105" s="40">
        <v>4464.6400000000003</v>
      </c>
      <c r="B105" s="40">
        <v>37893.69</v>
      </c>
      <c r="C105" s="39">
        <v>85.68</v>
      </c>
      <c r="D105" s="39">
        <v>6.4</v>
      </c>
      <c r="E105" s="44">
        <f t="shared" si="1"/>
        <v>6.4000000000000001E-2</v>
      </c>
    </row>
    <row r="106" spans="1:5" x14ac:dyDescent="0.3">
      <c r="A106" s="40">
        <v>37893.699999999997</v>
      </c>
      <c r="B106" s="40">
        <v>66594.78</v>
      </c>
      <c r="C106" s="40">
        <v>2225.16</v>
      </c>
      <c r="D106" s="39">
        <v>10.88</v>
      </c>
      <c r="E106" s="44">
        <f t="shared" si="1"/>
        <v>0.10880000000000001</v>
      </c>
    </row>
    <row r="107" spans="1:5" x14ac:dyDescent="0.3">
      <c r="A107" s="40">
        <v>66594.789999999994</v>
      </c>
      <c r="B107" s="40">
        <v>77413.5</v>
      </c>
      <c r="C107" s="40">
        <v>5347.89</v>
      </c>
      <c r="D107" s="39">
        <v>16</v>
      </c>
      <c r="E107" s="44">
        <f t="shared" si="1"/>
        <v>0.16</v>
      </c>
    </row>
    <row r="108" spans="1:5" x14ac:dyDescent="0.3">
      <c r="A108" s="40">
        <v>77413.509999999995</v>
      </c>
      <c r="B108" s="40">
        <v>92685.15</v>
      </c>
      <c r="C108" s="40">
        <v>7078.86</v>
      </c>
      <c r="D108" s="39">
        <v>17.920000000000002</v>
      </c>
      <c r="E108" s="44">
        <f t="shared" si="1"/>
        <v>0.17920000000000003</v>
      </c>
    </row>
    <row r="109" spans="1:5" x14ac:dyDescent="0.3">
      <c r="A109" s="40">
        <v>92685.16</v>
      </c>
      <c r="B109" s="40">
        <v>186932.61</v>
      </c>
      <c r="C109" s="40">
        <v>9815.49</v>
      </c>
      <c r="D109" s="39">
        <v>21.36</v>
      </c>
      <c r="E109" s="44">
        <f t="shared" si="1"/>
        <v>0.21359999999999998</v>
      </c>
    </row>
    <row r="110" spans="1:5" x14ac:dyDescent="0.3">
      <c r="A110" s="40">
        <v>186932.62</v>
      </c>
      <c r="B110" s="40">
        <v>294631.46999999997</v>
      </c>
      <c r="C110" s="40">
        <v>29946.78</v>
      </c>
      <c r="D110" s="39">
        <v>23.52</v>
      </c>
      <c r="E110" s="44">
        <f t="shared" si="1"/>
        <v>0.23519999999999999</v>
      </c>
    </row>
    <row r="111" spans="1:5" x14ac:dyDescent="0.3">
      <c r="A111" s="40">
        <v>294631.48</v>
      </c>
      <c r="B111" s="40">
        <v>562500</v>
      </c>
      <c r="C111" s="40">
        <v>55277.55</v>
      </c>
      <c r="D111" s="39">
        <v>30</v>
      </c>
      <c r="E111" s="44">
        <f t="shared" si="1"/>
        <v>0.3</v>
      </c>
    </row>
    <row r="112" spans="1:5" x14ac:dyDescent="0.3">
      <c r="A112" s="40">
        <v>562500.01</v>
      </c>
      <c r="B112" s="40">
        <v>749999.97</v>
      </c>
      <c r="C112" s="40">
        <v>135638.1</v>
      </c>
      <c r="D112" s="39">
        <v>32</v>
      </c>
      <c r="E112" s="44">
        <f t="shared" si="1"/>
        <v>0.32</v>
      </c>
    </row>
    <row r="113" spans="1:5" x14ac:dyDescent="0.3">
      <c r="A113" s="40">
        <v>749999.98</v>
      </c>
      <c r="B113" s="40">
        <v>2250000</v>
      </c>
      <c r="C113" s="40">
        <v>195638.13</v>
      </c>
      <c r="D113" s="39">
        <v>34</v>
      </c>
      <c r="E113" s="44">
        <f t="shared" si="1"/>
        <v>0.34</v>
      </c>
    </row>
    <row r="114" spans="1:5" ht="15" thickBot="1" x14ac:dyDescent="0.35">
      <c r="A114" s="41">
        <v>2250000.0099999998</v>
      </c>
      <c r="B114" s="42" t="s">
        <v>145</v>
      </c>
      <c r="C114" s="41">
        <v>705638.07</v>
      </c>
      <c r="D114" s="42">
        <v>35</v>
      </c>
      <c r="E114" s="45">
        <f t="shared" si="1"/>
        <v>0.35</v>
      </c>
    </row>
    <row r="115" spans="1:5" ht="15.6" thickTop="1" thickBot="1" x14ac:dyDescent="0.35">
      <c r="A115" t="s">
        <v>127</v>
      </c>
      <c r="E115" s="45"/>
    </row>
    <row r="116" spans="1:5" ht="15" thickTop="1" x14ac:dyDescent="0.3">
      <c r="A116" s="38">
        <v>0.01</v>
      </c>
      <c r="B116" s="43">
        <v>4960.7</v>
      </c>
      <c r="C116" s="38">
        <v>0</v>
      </c>
      <c r="D116" s="38">
        <v>1.92</v>
      </c>
      <c r="E116" s="44">
        <f t="shared" si="1"/>
        <v>1.9199999999999998E-2</v>
      </c>
    </row>
    <row r="117" spans="1:5" x14ac:dyDescent="0.3">
      <c r="A117" s="40">
        <v>4960.71</v>
      </c>
      <c r="B117" s="40">
        <v>42104.1</v>
      </c>
      <c r="C117" s="39">
        <v>95.2</v>
      </c>
      <c r="D117" s="39">
        <v>6.4</v>
      </c>
      <c r="E117" s="44">
        <f t="shared" si="1"/>
        <v>6.4000000000000001E-2</v>
      </c>
    </row>
    <row r="118" spans="1:5" x14ac:dyDescent="0.3">
      <c r="A118" s="40">
        <v>42104.11</v>
      </c>
      <c r="B118" s="40">
        <v>73994.2</v>
      </c>
      <c r="C118" s="40">
        <v>2472.4</v>
      </c>
      <c r="D118" s="39">
        <v>10.88</v>
      </c>
      <c r="E118" s="44">
        <f t="shared" si="1"/>
        <v>0.10880000000000001</v>
      </c>
    </row>
    <row r="119" spans="1:5" x14ac:dyDescent="0.3">
      <c r="A119" s="40">
        <v>73994.210000000006</v>
      </c>
      <c r="B119" s="40">
        <v>86015</v>
      </c>
      <c r="C119" s="40">
        <v>5942.1</v>
      </c>
      <c r="D119" s="39">
        <v>16</v>
      </c>
      <c r="E119" s="44">
        <f t="shared" si="1"/>
        <v>0.16</v>
      </c>
    </row>
    <row r="120" spans="1:5" x14ac:dyDescent="0.3">
      <c r="A120" s="40">
        <v>86015.01</v>
      </c>
      <c r="B120" s="40">
        <v>102983.5</v>
      </c>
      <c r="C120" s="40">
        <v>7865.4</v>
      </c>
      <c r="D120" s="39">
        <v>17.920000000000002</v>
      </c>
      <c r="E120" s="44">
        <f t="shared" si="1"/>
        <v>0.17920000000000003</v>
      </c>
    </row>
    <row r="121" spans="1:5" x14ac:dyDescent="0.3">
      <c r="A121" s="40">
        <v>102983.51</v>
      </c>
      <c r="B121" s="40">
        <v>207702.9</v>
      </c>
      <c r="C121" s="40">
        <v>10906.1</v>
      </c>
      <c r="D121" s="39">
        <v>21.36</v>
      </c>
      <c r="E121" s="44">
        <f t="shared" si="1"/>
        <v>0.21359999999999998</v>
      </c>
    </row>
    <row r="122" spans="1:5" x14ac:dyDescent="0.3">
      <c r="A122" s="40">
        <v>207702.91</v>
      </c>
      <c r="B122" s="40">
        <v>327368.3</v>
      </c>
      <c r="C122" s="40">
        <v>33274.199999999997</v>
      </c>
      <c r="D122" s="39">
        <v>23.52</v>
      </c>
      <c r="E122" s="44">
        <f t="shared" si="1"/>
        <v>0.23519999999999999</v>
      </c>
    </row>
    <row r="123" spans="1:5" x14ac:dyDescent="0.3">
      <c r="A123" s="40">
        <v>327368.31</v>
      </c>
      <c r="B123" s="40">
        <v>625000</v>
      </c>
      <c r="C123" s="40">
        <v>61419.5</v>
      </c>
      <c r="D123" s="39">
        <v>30</v>
      </c>
      <c r="E123" s="44">
        <f t="shared" si="1"/>
        <v>0.3</v>
      </c>
    </row>
    <row r="124" spans="1:5" x14ac:dyDescent="0.3">
      <c r="A124" s="40">
        <v>625000.01</v>
      </c>
      <c r="B124" s="40">
        <v>833333.3</v>
      </c>
      <c r="C124" s="40">
        <v>150709</v>
      </c>
      <c r="D124" s="39">
        <v>32</v>
      </c>
      <c r="E124" s="44">
        <f t="shared" si="1"/>
        <v>0.32</v>
      </c>
    </row>
    <row r="125" spans="1:5" x14ac:dyDescent="0.3">
      <c r="A125" s="40">
        <v>833333.31</v>
      </c>
      <c r="B125" s="40">
        <v>2500000</v>
      </c>
      <c r="C125" s="40">
        <v>217375.7</v>
      </c>
      <c r="D125" s="39">
        <v>34</v>
      </c>
      <c r="E125" s="44">
        <f t="shared" si="1"/>
        <v>0.34</v>
      </c>
    </row>
    <row r="126" spans="1:5" ht="15" thickBot="1" x14ac:dyDescent="0.35">
      <c r="A126" s="41">
        <v>2500000.0099999998</v>
      </c>
      <c r="B126" s="42" t="s">
        <v>145</v>
      </c>
      <c r="C126" s="41">
        <v>784042.3</v>
      </c>
      <c r="D126" s="42">
        <v>35</v>
      </c>
      <c r="E126" s="45">
        <f t="shared" si="1"/>
        <v>0.35</v>
      </c>
    </row>
    <row r="127" spans="1:5" ht="15.6" thickTop="1" thickBot="1" x14ac:dyDescent="0.35">
      <c r="A127" t="s">
        <v>129</v>
      </c>
      <c r="E127" s="45"/>
    </row>
    <row r="128" spans="1:5" ht="15" thickTop="1" x14ac:dyDescent="0.3">
      <c r="A128" s="38">
        <v>0.01</v>
      </c>
      <c r="B128" s="43">
        <v>5456.77</v>
      </c>
      <c r="C128" s="38">
        <v>0</v>
      </c>
      <c r="D128" s="38">
        <v>1.92</v>
      </c>
      <c r="E128" s="44">
        <f t="shared" si="1"/>
        <v>1.9199999999999998E-2</v>
      </c>
    </row>
    <row r="129" spans="1:5" x14ac:dyDescent="0.3">
      <c r="A129" s="40">
        <v>5456.78</v>
      </c>
      <c r="B129" s="40">
        <v>46314.51</v>
      </c>
      <c r="C129" s="39">
        <v>104.72</v>
      </c>
      <c r="D129" s="39">
        <v>6.4</v>
      </c>
      <c r="E129" s="44">
        <f t="shared" si="1"/>
        <v>6.4000000000000001E-2</v>
      </c>
    </row>
    <row r="130" spans="1:5" x14ac:dyDescent="0.3">
      <c r="A130" s="40">
        <v>46314.52</v>
      </c>
      <c r="B130" s="40">
        <v>81393.62</v>
      </c>
      <c r="C130" s="40">
        <v>2719.64</v>
      </c>
      <c r="D130" s="39">
        <v>10.88</v>
      </c>
      <c r="E130" s="44">
        <f t="shared" si="1"/>
        <v>0.10880000000000001</v>
      </c>
    </row>
    <row r="131" spans="1:5" x14ac:dyDescent="0.3">
      <c r="A131" s="40">
        <v>81393.63</v>
      </c>
      <c r="B131" s="40">
        <v>94616.5</v>
      </c>
      <c r="C131" s="40">
        <v>6536.31</v>
      </c>
      <c r="D131" s="39">
        <v>16</v>
      </c>
      <c r="E131" s="44">
        <f t="shared" si="1"/>
        <v>0.16</v>
      </c>
    </row>
    <row r="132" spans="1:5" x14ac:dyDescent="0.3">
      <c r="A132" s="40">
        <v>94616.51</v>
      </c>
      <c r="B132" s="40">
        <v>113281.85</v>
      </c>
      <c r="C132" s="40">
        <v>8651.94</v>
      </c>
      <c r="D132" s="39">
        <v>17.920000000000002</v>
      </c>
      <c r="E132" s="44">
        <f t="shared" si="1"/>
        <v>0.17920000000000003</v>
      </c>
    </row>
    <row r="133" spans="1:5" x14ac:dyDescent="0.3">
      <c r="A133" s="40">
        <v>113281.86</v>
      </c>
      <c r="B133" s="40">
        <v>228473.19</v>
      </c>
      <c r="C133" s="40">
        <v>11996.71</v>
      </c>
      <c r="D133" s="39">
        <v>21.36</v>
      </c>
      <c r="E133" s="44">
        <f t="shared" si="1"/>
        <v>0.21359999999999998</v>
      </c>
    </row>
    <row r="134" spans="1:5" x14ac:dyDescent="0.3">
      <c r="A134" s="40">
        <v>228473.2</v>
      </c>
      <c r="B134" s="40">
        <v>360105.13</v>
      </c>
      <c r="C134" s="40">
        <v>36601.620000000003</v>
      </c>
      <c r="D134" s="39">
        <v>23.52</v>
      </c>
      <c r="E134" s="44">
        <f t="shared" si="1"/>
        <v>0.23519999999999999</v>
      </c>
    </row>
    <row r="135" spans="1:5" x14ac:dyDescent="0.3">
      <c r="A135" s="40">
        <v>360105.14</v>
      </c>
      <c r="B135" s="40">
        <v>687500</v>
      </c>
      <c r="C135" s="40">
        <v>67561.45</v>
      </c>
      <c r="D135" s="39">
        <v>30</v>
      </c>
      <c r="E135" s="44">
        <f t="shared" si="1"/>
        <v>0.3</v>
      </c>
    </row>
    <row r="136" spans="1:5" x14ac:dyDescent="0.3">
      <c r="A136" s="40">
        <v>687500.01</v>
      </c>
      <c r="B136" s="40">
        <v>916666.63</v>
      </c>
      <c r="C136" s="40">
        <v>165779.9</v>
      </c>
      <c r="D136" s="39">
        <v>32</v>
      </c>
      <c r="E136" s="44">
        <f t="shared" si="1"/>
        <v>0.32</v>
      </c>
    </row>
    <row r="137" spans="1:5" x14ac:dyDescent="0.3">
      <c r="A137" s="40">
        <v>916666.64</v>
      </c>
      <c r="B137" s="40">
        <v>2750000</v>
      </c>
      <c r="C137" s="40">
        <v>239113.27</v>
      </c>
      <c r="D137" s="39">
        <v>34</v>
      </c>
      <c r="E137" s="44">
        <f t="shared" ref="E137:E150" si="2">D137/100</f>
        <v>0.34</v>
      </c>
    </row>
    <row r="138" spans="1:5" ht="15" thickBot="1" x14ac:dyDescent="0.35">
      <c r="A138" s="41">
        <v>2750000.01</v>
      </c>
      <c r="B138" s="42" t="s">
        <v>145</v>
      </c>
      <c r="C138" s="41">
        <v>862446.53</v>
      </c>
      <c r="D138" s="42">
        <v>35</v>
      </c>
      <c r="E138" s="45">
        <f t="shared" si="2"/>
        <v>0.35</v>
      </c>
    </row>
    <row r="139" spans="1:5" ht="15.6" thickTop="1" thickBot="1" x14ac:dyDescent="0.35">
      <c r="A139" t="s">
        <v>130</v>
      </c>
      <c r="E139" s="45"/>
    </row>
    <row r="140" spans="1:5" ht="15" thickTop="1" x14ac:dyDescent="0.3">
      <c r="A140" s="38">
        <v>0.01</v>
      </c>
      <c r="B140" s="43">
        <v>5952.84</v>
      </c>
      <c r="C140" s="38">
        <v>0</v>
      </c>
      <c r="D140" s="38">
        <v>1.92</v>
      </c>
      <c r="E140" s="44">
        <f t="shared" si="2"/>
        <v>1.9199999999999998E-2</v>
      </c>
    </row>
    <row r="141" spans="1:5" x14ac:dyDescent="0.3">
      <c r="A141" s="40">
        <v>5952.85</v>
      </c>
      <c r="B141" s="40">
        <v>50524.92</v>
      </c>
      <c r="C141" s="39">
        <v>114.29</v>
      </c>
      <c r="D141" s="39">
        <v>6.4</v>
      </c>
      <c r="E141" s="44">
        <f t="shared" si="2"/>
        <v>6.4000000000000001E-2</v>
      </c>
    </row>
    <row r="142" spans="1:5" x14ac:dyDescent="0.3">
      <c r="A142" s="40">
        <v>50524.93</v>
      </c>
      <c r="B142" s="40">
        <v>88793.04</v>
      </c>
      <c r="C142" s="40">
        <v>2966.91</v>
      </c>
      <c r="D142" s="39">
        <v>10.88</v>
      </c>
      <c r="E142" s="44">
        <f t="shared" si="2"/>
        <v>0.10880000000000001</v>
      </c>
    </row>
    <row r="143" spans="1:5" x14ac:dyDescent="0.3">
      <c r="A143" s="40">
        <v>88793.05</v>
      </c>
      <c r="B143" s="40">
        <v>103218</v>
      </c>
      <c r="C143" s="40">
        <v>7130.48</v>
      </c>
      <c r="D143" s="39">
        <v>16</v>
      </c>
      <c r="E143" s="44">
        <f t="shared" si="2"/>
        <v>0.16</v>
      </c>
    </row>
    <row r="144" spans="1:5" x14ac:dyDescent="0.3">
      <c r="A144" s="40">
        <v>103218.01</v>
      </c>
      <c r="B144" s="40">
        <v>123580.2</v>
      </c>
      <c r="C144" s="40">
        <v>9438.4699999999993</v>
      </c>
      <c r="D144" s="39">
        <v>17.920000000000002</v>
      </c>
      <c r="E144" s="44">
        <f t="shared" si="2"/>
        <v>0.17920000000000003</v>
      </c>
    </row>
    <row r="145" spans="1:5" x14ac:dyDescent="0.3">
      <c r="A145" s="40">
        <v>123580.21</v>
      </c>
      <c r="B145" s="40">
        <v>249243.48</v>
      </c>
      <c r="C145" s="40">
        <v>13087.37</v>
      </c>
      <c r="D145" s="39">
        <v>21.36</v>
      </c>
      <c r="E145" s="44">
        <f t="shared" si="2"/>
        <v>0.21359999999999998</v>
      </c>
    </row>
    <row r="146" spans="1:5" x14ac:dyDescent="0.3">
      <c r="A146" s="40">
        <v>249243.49</v>
      </c>
      <c r="B146" s="40">
        <v>392841.96</v>
      </c>
      <c r="C146" s="40">
        <v>39929.050000000003</v>
      </c>
      <c r="D146" s="39">
        <v>23.52</v>
      </c>
      <c r="E146" s="44">
        <f t="shared" si="2"/>
        <v>0.23519999999999999</v>
      </c>
    </row>
    <row r="147" spans="1:5" x14ac:dyDescent="0.3">
      <c r="A147" s="40">
        <v>392841.97</v>
      </c>
      <c r="B147" s="40">
        <v>750000</v>
      </c>
      <c r="C147" s="40">
        <v>73703.41</v>
      </c>
      <c r="D147" s="39">
        <v>30</v>
      </c>
      <c r="E147" s="44">
        <f t="shared" si="2"/>
        <v>0.3</v>
      </c>
    </row>
    <row r="148" spans="1:5" x14ac:dyDescent="0.3">
      <c r="A148" s="40">
        <v>750000.01</v>
      </c>
      <c r="B148" s="40">
        <v>1000000</v>
      </c>
      <c r="C148" s="40">
        <v>180850.82</v>
      </c>
      <c r="D148" s="39">
        <v>32</v>
      </c>
      <c r="E148" s="44">
        <f t="shared" si="2"/>
        <v>0.32</v>
      </c>
    </row>
    <row r="149" spans="1:5" x14ac:dyDescent="0.3">
      <c r="A149" s="40">
        <v>1000000.01</v>
      </c>
      <c r="B149" s="40">
        <v>3000000</v>
      </c>
      <c r="C149" s="40">
        <v>260850.81</v>
      </c>
      <c r="D149" s="39">
        <v>34</v>
      </c>
      <c r="E149" s="44">
        <f t="shared" si="2"/>
        <v>0.34</v>
      </c>
    </row>
    <row r="150" spans="1:5" ht="15" thickBot="1" x14ac:dyDescent="0.35">
      <c r="A150" s="41">
        <v>3000000.01</v>
      </c>
      <c r="B150" s="42" t="s">
        <v>145</v>
      </c>
      <c r="C150" s="41">
        <v>940850.81</v>
      </c>
      <c r="D150" s="42">
        <v>35</v>
      </c>
      <c r="E150" s="45">
        <f t="shared" si="2"/>
        <v>0.35</v>
      </c>
    </row>
    <row r="151" spans="1:5" ht="15" thickTop="1" x14ac:dyDescent="0.3"/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pane xSplit="3" ySplit="10" topLeftCell="D33" activePane="bottomRight" state="frozen"/>
      <selection pane="topRight" activeCell="D1" sqref="D1"/>
      <selection pane="bottomLeft" activeCell="A11" sqref="A11"/>
      <selection pane="bottomRight" activeCell="A40" sqref="A40"/>
    </sheetView>
  </sheetViews>
  <sheetFormatPr baseColWidth="10" defaultRowHeight="14.4" x14ac:dyDescent="0.3"/>
  <cols>
    <col min="1" max="1" width="86.88671875" bestFit="1" customWidth="1"/>
    <col min="2" max="3" width="13.44140625" bestFit="1" customWidth="1"/>
    <col min="4" max="4" width="14" bestFit="1" customWidth="1"/>
  </cols>
  <sheetData>
    <row r="1" spans="1:13" ht="15.6" x14ac:dyDescent="0.3">
      <c r="A1" s="49" t="s">
        <v>192</v>
      </c>
      <c r="B1" s="49" t="s">
        <v>0</v>
      </c>
      <c r="C1" s="49" t="s">
        <v>1</v>
      </c>
      <c r="D1" s="49" t="s">
        <v>2</v>
      </c>
      <c r="E1" s="49" t="s">
        <v>3</v>
      </c>
      <c r="F1" s="49" t="s">
        <v>4</v>
      </c>
      <c r="G1" s="49" t="s">
        <v>113</v>
      </c>
      <c r="H1" s="49" t="s">
        <v>115</v>
      </c>
      <c r="I1" s="49" t="s">
        <v>119</v>
      </c>
      <c r="J1" s="49" t="s">
        <v>124</v>
      </c>
      <c r="K1" s="49" t="s">
        <v>127</v>
      </c>
      <c r="L1" s="49" t="s">
        <v>129</v>
      </c>
      <c r="M1" s="49" t="s">
        <v>130</v>
      </c>
    </row>
    <row r="2" spans="1:13" ht="14.4" customHeight="1" x14ac:dyDescent="0.3">
      <c r="A2" s="46" t="s">
        <v>174</v>
      </c>
      <c r="B2" s="57">
        <f>Datos!D5</f>
        <v>450981</v>
      </c>
      <c r="C2" s="57">
        <f>SUM(Datos!D5:D6)</f>
        <v>887853</v>
      </c>
      <c r="D2" s="57">
        <f>SUM(Datos!D5:D7)</f>
        <v>1710019</v>
      </c>
      <c r="E2" s="57"/>
      <c r="F2" s="57"/>
      <c r="G2" s="57"/>
      <c r="H2" s="57"/>
      <c r="I2" s="57"/>
      <c r="J2" s="57"/>
      <c r="K2" s="57"/>
      <c r="L2" s="57"/>
      <c r="M2" s="57"/>
    </row>
    <row r="3" spans="1:13" x14ac:dyDescent="0.3">
      <c r="A3" s="46" t="s">
        <v>175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x14ac:dyDescent="0.3">
      <c r="A4" s="46" t="s">
        <v>176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x14ac:dyDescent="0.3">
      <c r="A5" s="46" t="s">
        <v>177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3" x14ac:dyDescent="0.3">
      <c r="A6" s="46" t="s">
        <v>178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3" ht="15" thickBot="1" x14ac:dyDescent="0.35">
      <c r="A7" s="48" t="s">
        <v>189</v>
      </c>
      <c r="B7" s="56">
        <f>SUM(B2:B6)</f>
        <v>450981</v>
      </c>
      <c r="C7" s="56">
        <f t="shared" ref="C7:M7" si="0">SUM(C2:C6)</f>
        <v>887853</v>
      </c>
      <c r="D7" s="56">
        <f t="shared" si="0"/>
        <v>1710019</v>
      </c>
      <c r="E7" s="56">
        <f t="shared" si="0"/>
        <v>0</v>
      </c>
      <c r="F7" s="56">
        <f t="shared" si="0"/>
        <v>0</v>
      </c>
      <c r="G7" s="56">
        <f t="shared" si="0"/>
        <v>0</v>
      </c>
      <c r="H7" s="56">
        <f t="shared" si="0"/>
        <v>0</v>
      </c>
      <c r="I7" s="56">
        <f t="shared" si="0"/>
        <v>0</v>
      </c>
      <c r="J7" s="56">
        <f t="shared" si="0"/>
        <v>0</v>
      </c>
      <c r="K7" s="56">
        <f t="shared" si="0"/>
        <v>0</v>
      </c>
      <c r="L7" s="56">
        <f t="shared" si="0"/>
        <v>0</v>
      </c>
      <c r="M7" s="56">
        <f t="shared" si="0"/>
        <v>0</v>
      </c>
    </row>
    <row r="8" spans="1:13" ht="14.4" customHeight="1" thickTop="1" x14ac:dyDescent="0.3">
      <c r="A8" s="47" t="s">
        <v>148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x14ac:dyDescent="0.3">
      <c r="A9" s="47" t="s">
        <v>149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x14ac:dyDescent="0.3">
      <c r="A10" s="47" t="s">
        <v>150</v>
      </c>
      <c r="B10" s="12">
        <f>Datos!H5</f>
        <v>135294.29999999999</v>
      </c>
      <c r="C10" s="12">
        <f>SUM(Datos!H5:H6)</f>
        <v>266355.90000000002</v>
      </c>
      <c r="D10" s="12">
        <f>SUM(Datos!H5:H7)</f>
        <v>513005.7</v>
      </c>
      <c r="E10" s="12"/>
      <c r="F10" s="12"/>
      <c r="G10" s="12"/>
      <c r="H10" s="12"/>
      <c r="I10" s="12"/>
      <c r="J10" s="12"/>
      <c r="K10" s="12"/>
      <c r="L10" s="12"/>
      <c r="M10" s="12"/>
    </row>
    <row r="11" spans="1:13" x14ac:dyDescent="0.3">
      <c r="A11" s="47" t="s">
        <v>151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3" x14ac:dyDescent="0.3">
      <c r="A12" s="47" t="s">
        <v>152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spans="1:13" x14ac:dyDescent="0.3">
      <c r="A13" s="47" t="s">
        <v>153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x14ac:dyDescent="0.3">
      <c r="A14" s="47" t="s">
        <v>154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3" x14ac:dyDescent="0.3">
      <c r="A15" s="47" t="s">
        <v>155</v>
      </c>
      <c r="B15" s="12">
        <f>Datos!J5</f>
        <v>46821</v>
      </c>
      <c r="C15" s="12">
        <f>SUM(Datos!J5:J6)</f>
        <v>93642</v>
      </c>
      <c r="D15" s="12">
        <f>SUM(Datos!J5:J7)</f>
        <v>140463</v>
      </c>
      <c r="E15" s="12"/>
      <c r="F15" s="12"/>
      <c r="G15" s="12"/>
      <c r="H15" s="12"/>
      <c r="I15" s="12"/>
      <c r="J15" s="12"/>
      <c r="K15" s="12"/>
      <c r="L15" s="12"/>
      <c r="M15" s="12"/>
    </row>
    <row r="16" spans="1:13" x14ac:dyDescent="0.3">
      <c r="A16" s="47" t="s">
        <v>156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 x14ac:dyDescent="0.3">
      <c r="A17" s="47" t="s">
        <v>157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3" x14ac:dyDescent="0.3">
      <c r="A18" s="47" t="s">
        <v>158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1:13" x14ac:dyDescent="0.3">
      <c r="A19" s="47" t="s">
        <v>159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3" x14ac:dyDescent="0.3">
      <c r="A20" s="47" t="s">
        <v>160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3" x14ac:dyDescent="0.3">
      <c r="A21" s="47" t="s">
        <v>161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x14ac:dyDescent="0.3">
      <c r="A22" s="47" t="s">
        <v>162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 x14ac:dyDescent="0.3">
      <c r="A23" s="47" t="s">
        <v>163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13" x14ac:dyDescent="0.3">
      <c r="A24" s="47" t="s">
        <v>164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x14ac:dyDescent="0.3">
      <c r="A25" s="47" t="s">
        <v>165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x14ac:dyDescent="0.3">
      <c r="A26" s="47" t="s">
        <v>166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13" x14ac:dyDescent="0.3">
      <c r="A27" s="47" t="s">
        <v>167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3" x14ac:dyDescent="0.3">
      <c r="A28" s="47" t="s">
        <v>168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3" x14ac:dyDescent="0.3">
      <c r="A29" s="47" t="s">
        <v>169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3" x14ac:dyDescent="0.3">
      <c r="A30" s="47" t="s">
        <v>170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3" x14ac:dyDescent="0.3">
      <c r="A31" s="47" t="s">
        <v>171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x14ac:dyDescent="0.3">
      <c r="A32" s="47" t="s">
        <v>172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3" x14ac:dyDescent="0.3">
      <c r="A33" s="47" t="s">
        <v>179</v>
      </c>
      <c r="B33" s="12">
        <f>Datos!H27+Datos!J27</f>
        <v>1611.75</v>
      </c>
      <c r="C33" s="12">
        <f>Datos!H28+Datos!J28</f>
        <v>3223.5</v>
      </c>
      <c r="D33" s="12">
        <f>Datos!H29+Datos!J29</f>
        <v>4835.25</v>
      </c>
      <c r="E33" s="12"/>
      <c r="F33" s="12"/>
      <c r="G33" s="12"/>
      <c r="H33" s="12"/>
      <c r="I33" s="12"/>
      <c r="J33" s="12"/>
      <c r="K33" s="12"/>
      <c r="L33" s="12"/>
      <c r="M33" s="12"/>
    </row>
    <row r="34" spans="1:13" x14ac:dyDescent="0.3">
      <c r="A34" s="47" t="s">
        <v>173</v>
      </c>
      <c r="B34" s="12">
        <f>Datos!I5+Datos!K5</f>
        <v>61444.26</v>
      </c>
      <c r="C34" s="12">
        <f>SUM(Datos!I5:I6)+SUM(Datos!K5:K6)</f>
        <v>168841.62</v>
      </c>
      <c r="D34" s="12">
        <f>SUM(Datos!I5:I7)+SUM(Datos!K5:K7)</f>
        <v>257469.02000000002</v>
      </c>
      <c r="E34" s="12"/>
      <c r="F34" s="12"/>
      <c r="G34" s="12"/>
      <c r="H34" s="12"/>
      <c r="I34" s="12"/>
      <c r="J34" s="12"/>
      <c r="K34" s="12"/>
      <c r="L34" s="12"/>
      <c r="M34" s="12"/>
    </row>
    <row r="35" spans="1:13" x14ac:dyDescent="0.3">
      <c r="A35" s="50" t="s">
        <v>190</v>
      </c>
      <c r="B35" s="55">
        <f>SUM(B8:B34)</f>
        <v>245171.31</v>
      </c>
      <c r="C35" s="55">
        <f t="shared" ref="C35:M35" si="1">SUM(C8:C34)</f>
        <v>532063.02</v>
      </c>
      <c r="D35" s="55">
        <f t="shared" si="1"/>
        <v>915772.97</v>
      </c>
      <c r="E35" s="55">
        <f t="shared" si="1"/>
        <v>0</v>
      </c>
      <c r="F35" s="55">
        <f t="shared" si="1"/>
        <v>0</v>
      </c>
      <c r="G35" s="55">
        <f t="shared" si="1"/>
        <v>0</v>
      </c>
      <c r="H35" s="55">
        <f t="shared" si="1"/>
        <v>0</v>
      </c>
      <c r="I35" s="55">
        <f t="shared" si="1"/>
        <v>0</v>
      </c>
      <c r="J35" s="55">
        <f t="shared" si="1"/>
        <v>0</v>
      </c>
      <c r="K35" s="55">
        <f t="shared" si="1"/>
        <v>0</v>
      </c>
      <c r="L35" s="55">
        <f t="shared" si="1"/>
        <v>0</v>
      </c>
      <c r="M35" s="55">
        <f t="shared" si="1"/>
        <v>0</v>
      </c>
    </row>
    <row r="36" spans="1:13" s="62" customFormat="1" ht="15.6" x14ac:dyDescent="0.3">
      <c r="A36" s="60" t="s">
        <v>181</v>
      </c>
      <c r="B36" s="61">
        <f>IF(B7&gt;B35,(B7-B35),0)</f>
        <v>205809.69</v>
      </c>
      <c r="C36" s="61">
        <f>IF(C7&gt;C35,(C7-C35),0)</f>
        <v>355789.98</v>
      </c>
      <c r="D36" s="61">
        <f>IF(D7&gt;D35,(D7-D35),0)</f>
        <v>794246.03</v>
      </c>
      <c r="E36" s="61"/>
      <c r="F36" s="61"/>
      <c r="G36" s="61"/>
      <c r="H36" s="61"/>
      <c r="I36" s="61"/>
      <c r="J36" s="61"/>
      <c r="K36" s="61"/>
      <c r="L36" s="61"/>
      <c r="M36" s="61"/>
    </row>
    <row r="37" spans="1:13" s="1" customFormat="1" x14ac:dyDescent="0.3">
      <c r="A37" s="26" t="s">
        <v>182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</row>
    <row r="38" spans="1:13" s="1" customFormat="1" ht="15" thickBot="1" x14ac:dyDescent="0.35">
      <c r="A38" s="64" t="s">
        <v>180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</row>
    <row r="39" spans="1:13" s="59" customFormat="1" x14ac:dyDescent="0.3">
      <c r="A39" s="63" t="s">
        <v>191</v>
      </c>
      <c r="B39" s="63">
        <f>B36-B37-B38</f>
        <v>205809.69</v>
      </c>
      <c r="C39" s="63">
        <f>C36-C37-C38</f>
        <v>355789.98</v>
      </c>
      <c r="D39" s="63">
        <f>D36-D37-D38</f>
        <v>794246.03</v>
      </c>
      <c r="E39" s="63"/>
      <c r="F39" s="63"/>
      <c r="G39" s="63"/>
      <c r="H39" s="63"/>
      <c r="I39" s="63"/>
      <c r="J39" s="63"/>
      <c r="K39" s="63"/>
      <c r="L39" s="63"/>
      <c r="M39" s="63"/>
    </row>
    <row r="40" spans="1:13" s="1" customFormat="1" x14ac:dyDescent="0.3">
      <c r="A40" s="51" t="s">
        <v>193</v>
      </c>
      <c r="B40" s="51">
        <f>Tabla96!A17</f>
        <v>83333.34</v>
      </c>
      <c r="C40" s="51">
        <f>Tabla96!A29</f>
        <v>166666.67000000001</v>
      </c>
      <c r="D40" s="51">
        <f>Tabla96!A42</f>
        <v>750000.01</v>
      </c>
      <c r="E40" s="51"/>
      <c r="F40" s="51"/>
      <c r="G40" s="51"/>
      <c r="H40" s="51"/>
      <c r="I40" s="51"/>
      <c r="J40" s="51"/>
      <c r="K40" s="51"/>
      <c r="L40" s="51"/>
      <c r="M40" s="51"/>
    </row>
    <row r="41" spans="1:13" s="1" customFormat="1" x14ac:dyDescent="0.3">
      <c r="A41" s="1" t="s">
        <v>194</v>
      </c>
      <c r="B41" s="1">
        <f>B39-B40</f>
        <v>122476.35</v>
      </c>
      <c r="C41" s="1">
        <f>C39-C40</f>
        <v>189123.30999999997</v>
      </c>
      <c r="D41" s="1">
        <f>D39-D40</f>
        <v>44246.020000000019</v>
      </c>
    </row>
    <row r="42" spans="1:13" s="1" customFormat="1" x14ac:dyDescent="0.3">
      <c r="A42" s="51" t="s">
        <v>195</v>
      </c>
      <c r="B42" s="84">
        <f>Tabla96!E17</f>
        <v>0.34</v>
      </c>
      <c r="C42" s="84">
        <f>Tabla96!E29</f>
        <v>0.34</v>
      </c>
      <c r="D42" s="84">
        <f>+Tabla96!E42</f>
        <v>0.35</v>
      </c>
      <c r="E42" s="51"/>
      <c r="F42" s="51"/>
      <c r="G42" s="51"/>
      <c r="H42" s="51"/>
      <c r="I42" s="51"/>
      <c r="J42" s="51"/>
      <c r="K42" s="51"/>
      <c r="L42" s="51"/>
      <c r="M42" s="51"/>
    </row>
    <row r="43" spans="1:13" s="1" customFormat="1" x14ac:dyDescent="0.3">
      <c r="A43" s="1" t="s">
        <v>196</v>
      </c>
      <c r="B43" s="1">
        <f>B41*B42</f>
        <v>41641.959000000003</v>
      </c>
      <c r="C43" s="1">
        <f>C41*C42</f>
        <v>64301.925399999993</v>
      </c>
      <c r="D43" s="1">
        <f>D41*D42</f>
        <v>15486.107000000005</v>
      </c>
    </row>
    <row r="44" spans="1:13" s="1" customFormat="1" x14ac:dyDescent="0.3">
      <c r="A44" s="51" t="s">
        <v>197</v>
      </c>
      <c r="B44" s="51">
        <f>Tabla96!C17</f>
        <v>21737.57</v>
      </c>
      <c r="C44" s="51">
        <f>Tabla96!C29</f>
        <v>43475.14</v>
      </c>
      <c r="D44" s="51">
        <f>+Tabla96!C42</f>
        <v>235212.69</v>
      </c>
      <c r="E44" s="51"/>
      <c r="F44" s="51"/>
      <c r="G44" s="51"/>
      <c r="H44" s="51"/>
      <c r="I44" s="51"/>
      <c r="J44" s="51"/>
      <c r="K44" s="51"/>
      <c r="L44" s="51"/>
      <c r="M44" s="51"/>
    </row>
    <row r="45" spans="1:13" s="1" customFormat="1" x14ac:dyDescent="0.3">
      <c r="A45" s="54" t="s">
        <v>198</v>
      </c>
      <c r="B45" s="54">
        <f>B43+B44</f>
        <v>63379.529000000002</v>
      </c>
      <c r="C45" s="54">
        <f>C43+C44</f>
        <v>107777.06539999999</v>
      </c>
      <c r="D45" s="54">
        <f>D43+D44</f>
        <v>250698.79700000002</v>
      </c>
      <c r="E45" s="54"/>
      <c r="F45" s="54"/>
      <c r="G45" s="54"/>
      <c r="H45" s="54"/>
      <c r="I45" s="54"/>
      <c r="J45" s="54"/>
      <c r="K45" s="54"/>
      <c r="L45" s="54"/>
      <c r="M45" s="54"/>
    </row>
    <row r="46" spans="1:13" s="1" customFormat="1" x14ac:dyDescent="0.3">
      <c r="A46" s="31" t="s">
        <v>199</v>
      </c>
      <c r="B46" s="1">
        <v>0</v>
      </c>
      <c r="C46" s="1">
        <f>Datos!M5</f>
        <v>18281</v>
      </c>
      <c r="D46" s="1">
        <f>SUM(Datos!M5:M6)</f>
        <v>18992</v>
      </c>
    </row>
    <row r="47" spans="1:13" s="1" customFormat="1" x14ac:dyDescent="0.3">
      <c r="A47" s="31" t="s">
        <v>200</v>
      </c>
      <c r="B47" s="1">
        <f>Datos!G5</f>
        <v>45098.100000000006</v>
      </c>
      <c r="C47" s="1">
        <f>SUM(Datos!G5:G6)</f>
        <v>88785.300000000017</v>
      </c>
      <c r="D47" s="1">
        <f>SUM(Datos!G5:G7)</f>
        <v>171001.90000000002</v>
      </c>
    </row>
    <row r="48" spans="1:13" s="58" customFormat="1" ht="16.2" thickBot="1" x14ac:dyDescent="0.35">
      <c r="A48" s="65" t="s">
        <v>201</v>
      </c>
      <c r="B48" s="65">
        <f>ROUND((B45-B46-B47),0)</f>
        <v>18281</v>
      </c>
      <c r="C48" s="65">
        <f>ROUND((C45-C46-C47),0)</f>
        <v>711</v>
      </c>
      <c r="D48" s="65">
        <f>ROUND((D45-D46-D47),0)</f>
        <v>60705</v>
      </c>
      <c r="E48" s="65"/>
      <c r="F48" s="65"/>
      <c r="G48" s="65"/>
      <c r="H48" s="65"/>
      <c r="I48" s="65"/>
      <c r="J48" s="65"/>
      <c r="K48" s="65"/>
      <c r="L48" s="65"/>
      <c r="M48" s="65"/>
    </row>
    <row r="49" ht="15" thickTop="1" x14ac:dyDescent="0.3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A2" sqref="A2:B7"/>
    </sheetView>
  </sheetViews>
  <sheetFormatPr baseColWidth="10" defaultRowHeight="14.4" x14ac:dyDescent="0.3"/>
  <cols>
    <col min="2" max="2" width="35" bestFit="1" customWidth="1"/>
  </cols>
  <sheetData>
    <row r="1" spans="1:2" x14ac:dyDescent="0.3">
      <c r="B1" t="s">
        <v>206</v>
      </c>
    </row>
    <row r="2" spans="1:2" x14ac:dyDescent="0.3">
      <c r="A2" s="101" t="s">
        <v>214</v>
      </c>
      <c r="B2" s="101"/>
    </row>
    <row r="3" spans="1:2" x14ac:dyDescent="0.3">
      <c r="A3" s="17"/>
      <c r="B3" s="17" t="s">
        <v>208</v>
      </c>
    </row>
    <row r="4" spans="1:2" x14ac:dyDescent="0.3">
      <c r="A4" s="100" t="s">
        <v>212</v>
      </c>
      <c r="B4" s="17" t="s">
        <v>207</v>
      </c>
    </row>
    <row r="5" spans="1:2" x14ac:dyDescent="0.3">
      <c r="A5" s="100" t="s">
        <v>212</v>
      </c>
      <c r="B5" s="17" t="s">
        <v>209</v>
      </c>
    </row>
    <row r="6" spans="1:2" x14ac:dyDescent="0.3">
      <c r="A6" s="100" t="s">
        <v>212</v>
      </c>
      <c r="B6" s="17" t="s">
        <v>210</v>
      </c>
    </row>
    <row r="7" spans="1:2" x14ac:dyDescent="0.3">
      <c r="A7" s="100" t="s">
        <v>213</v>
      </c>
      <c r="B7" s="17" t="s">
        <v>211</v>
      </c>
    </row>
  </sheetData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INPC</vt:lpstr>
      <vt:lpstr>PP</vt:lpstr>
      <vt:lpstr>Datos</vt:lpstr>
      <vt:lpstr>Tabla96</vt:lpstr>
      <vt:lpstr>Cédula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Conchas</dc:creator>
  <cp:lastModifiedBy>José Conchas</cp:lastModifiedBy>
  <dcterms:created xsi:type="dcterms:W3CDTF">2017-10-09T17:51:35Z</dcterms:created>
  <dcterms:modified xsi:type="dcterms:W3CDTF">2017-12-28T06:29:40Z</dcterms:modified>
</cp:coreProperties>
</file>